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1"/>
  </bookViews>
  <sheets>
    <sheet name="общая" sheetId="1" r:id="rId1"/>
    <sheet name="Лист1" sheetId="2" r:id="rId2"/>
  </sheets>
  <definedNames>
    <definedName name="_xlnm._FilterDatabase" localSheetId="1" hidden="1">'Лист1'!$A$9:$O$577</definedName>
    <definedName name="_xlnm._FilterDatabase" localSheetId="0" hidden="1">'общая'!$A$8:$K$550</definedName>
    <definedName name="_xlnm.Print_Titles" localSheetId="0">'общая'!$6:$8</definedName>
    <definedName name="_xlnm.Print_Area" localSheetId="1">'Лист1'!$A$1:$K$577</definedName>
    <definedName name="_xlnm.Print_Area" localSheetId="0">'общая'!$A$1:$K$559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542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G557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  <comment ref="G56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  <comment ref="G57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<sst xmlns="http://schemas.openxmlformats.org/spreadsheetml/2006/main" count="5698" uniqueCount="412">
  <si>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</si>
  <si>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</si>
  <si>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</si>
  <si>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</si>
  <si>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</si>
  <si>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</si>
  <si>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</si>
  <si>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</si>
  <si>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</si>
  <si>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</si>
  <si>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</si>
  <si>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</si>
  <si>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</si>
  <si>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</si>
  <si>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</si>
  <si>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</si>
  <si>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</si>
  <si>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</si>
  <si>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</si>
  <si>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</si>
  <si>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</si>
  <si>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</si>
  <si>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</si>
  <si>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</si>
  <si>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</si>
  <si>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</si>
  <si>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</si>
  <si>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</si>
  <si>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</si>
  <si>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</si>
  <si>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</si>
  <si>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</si>
  <si>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</si>
  <si>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</si>
  <si>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</si>
  <si>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</si>
  <si>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</si>
  <si>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</si>
  <si>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</si>
  <si>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</si>
  <si>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</si>
  <si>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</si>
  <si>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</si>
  <si>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</si>
  <si>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</si>
  <si>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</si>
  <si>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</si>
  <si>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</si>
  <si>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</si>
  <si>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</si>
  <si>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</si>
  <si>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</si>
  <si>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</si>
  <si>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</si>
  <si>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</si>
  <si>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</si>
  <si>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</si>
  <si>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</si>
  <si>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</si>
  <si>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</si>
  <si>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</si>
  <si>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</si>
  <si>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</si>
  <si>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</si>
  <si>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</si>
  <si>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</si>
  <si>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</si>
  <si>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</si>
  <si>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</si>
  <si>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</si>
  <si>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</si>
  <si>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</si>
  <si>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</si>
  <si>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</si>
  <si>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</si>
  <si>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</si>
  <si>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</si>
  <si>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</si>
  <si>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</si>
  <si>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</si>
  <si>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</si>
  <si>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</si>
  <si>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</si>
  <si>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320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</si>
  <si>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</si>
  <si>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</si>
  <si>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</si>
  <si>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</si>
  <si>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</si>
  <si>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</si>
  <si>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</si>
  <si>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</si>
  <si>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</si>
  <si>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</si>
  <si>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</si>
  <si>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</si>
  <si>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</si>
  <si>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</si>
  <si>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</si>
  <si>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</si>
  <si>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</si>
  <si>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</si>
  <si>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</si>
  <si>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</si>
  <si>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</si>
  <si>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</si>
  <si>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</si>
  <si>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</si>
  <si>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</si>
  <si>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</si>
  <si>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</si>
  <si>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</si>
  <si>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</si>
  <si>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</si>
  <si>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</si>
  <si>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</si>
  <si>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</si>
  <si>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</si>
  <si>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</si>
  <si>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</si>
  <si>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</si>
  <si>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</si>
  <si>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</si>
  <si>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</si>
  <si>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</si>
  <si>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</si>
  <si>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</si>
  <si>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</si>
  <si>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</si>
  <si>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</si>
  <si>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Внепрограммные мероприятия</t>
  </si>
  <si>
    <t>Укрепление материально-технической базы</t>
  </si>
  <si>
    <t>Судебная система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</si>
  <si>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</si>
  <si>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Тыс. рублей</t>
  </si>
  <si>
    <t>план</t>
  </si>
  <si>
    <t>исполнение</t>
  </si>
  <si>
    <t>отклонение от плана</t>
  </si>
  <si>
    <t>сумма</t>
  </si>
  <si>
    <t>% испол- нение</t>
  </si>
  <si>
    <t>Приложение № 4</t>
  </si>
  <si>
    <t>00000</t>
  </si>
  <si>
    <t>Основное мероприятие "Обеспечение функционирования органов местного самоуправления"</t>
  </si>
  <si>
    <t>Обеспечение функционирования органов местного самоуправления</t>
  </si>
  <si>
    <t>02200</t>
  </si>
  <si>
    <t>2. администрация закрытого административно-территориального образования Шиханы Саратовской области:</t>
  </si>
  <si>
    <t>Функционирование высшего должностного лица субъекта Российской Федерации и муниципального образования</t>
  </si>
  <si>
    <t>02100</t>
  </si>
  <si>
    <t>Обеспечение исполнения отдельных государственных полномочий</t>
  </si>
  <si>
    <r>
      <t xml:space="preserve">Осуществление </t>
    </r>
    <r>
      <rPr>
        <sz val="9.3"/>
        <rFont val="Arial"/>
        <family val="2"/>
      </rPr>
      <t>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  </r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</si>
  <si>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</si>
  <si>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r>
      <t>Осуществление</t>
    </r>
    <r>
      <rPr>
        <sz val="9.3"/>
        <rFont val="Arial"/>
        <family val="2"/>
      </rPr>
      <t xml:space="preserve"> отдельных государственных полномочий по государственному управлению охраной труда</t>
    </r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</si>
  <si>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</si>
  <si>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r>
      <t>Осуществление</t>
    </r>
    <r>
      <rPr>
        <sz val="9.3"/>
        <rFont val="Arial"/>
        <family val="2"/>
      </rPr>
      <t xml:space="preserve"> государственных полномочий по организации предоставления гражданам субсидий на оплату жилого помещения и коммунальных услуг</t>
    </r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</si>
  <si>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</si>
  <si>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</si>
  <si>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</si>
  <si>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</si>
  <si>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</si>
  <si>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</si>
  <si>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</si>
  <si>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</si>
  <si>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Государственной автоматизированной системы «Выборы»</t>
  </si>
  <si>
    <t>03400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</si>
  <si>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</si>
  <si>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</si>
  <si>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"Ведомственная целевая программа "Профилактика правонарушений на территории ЗАТО Шиханы на 2016-2017 гг.""</t>
  </si>
  <si>
    <t>Ведомственная целевая программа "Профилактика правонарушений на территории ЗАТО Шиханы на 2016-2017 гг."</t>
  </si>
  <si>
    <t>Основное мероприятие "Содержание и обеспечение деятельности МКУ "УПРАВЛЕНИЕ ПО ДЕЛАМ ГО И ЧС ЗАТО ШИХАНЫ""</t>
  </si>
  <si>
    <t>Содержание и обеспечение деятельности МКУ «УПРАВЛЕНИЕ ПО ДЕЛАМ ГО И ЧС ЗАТО ШИХАНЫ"</t>
  </si>
  <si>
    <t>04200</t>
  </si>
  <si>
    <t>Освежение запасов средств индивидуальной защиты, ГСМ, медицинского имущества и дезинфекционных средств</t>
  </si>
  <si>
    <t>Сельское хозяйство и рыболовство</t>
  </si>
  <si>
    <t>Проведение мероприятий по отлову и содержанию безнадзорных животных</t>
  </si>
  <si>
    <t>77Д00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</si>
  <si>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</si>
  <si>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</si>
  <si>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Транспорт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</si>
  <si>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</si>
  <si>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</si>
  <si>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89730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</si>
  <si>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</si>
  <si>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</si>
  <si>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S7200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</si>
  <si>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</si>
  <si>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</si>
  <si>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</si>
  <si>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</si>
  <si>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</si>
  <si>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</si>
  <si>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</si>
  <si>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Основное мероприятие "Обеспечение функционирования МКУ «УГХ ЗАТО Шиханы»"</t>
  </si>
  <si>
    <t>Обеспечение функционирования МКУ «УГХ ЗАТО Шиханы»</t>
  </si>
  <si>
    <t>Основное мероприятие "Проведение дератизационных мероприятий"</t>
  </si>
  <si>
    <t>Основное мероприятие "Доплата к пенсии за муниципальный стаж"</t>
  </si>
  <si>
    <t>Доплата к пенсии за муниципальный стаж</t>
  </si>
  <si>
    <t>20010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</si>
  <si>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</si>
  <si>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77В00</t>
  </si>
  <si>
    <t>Основное мероприятие "Обеспечение жилыми помещениями молодых семей, проживающих на территории ЗАТО Шиханы"</t>
  </si>
  <si>
    <t>L0200</t>
  </si>
  <si>
    <t>Материальная помощь отдельным категориям граждан в области социальной политики</t>
  </si>
  <si>
    <t>01030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</si>
  <si>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</si>
  <si>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</si>
  <si>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"Строительство спортивно – оздоровительного комплекса"</t>
  </si>
  <si>
    <t>00590</t>
  </si>
  <si>
    <t>Резервный фонд администрации ЗАТО Шиханы</t>
  </si>
  <si>
    <t>08800</t>
  </si>
  <si>
    <t>Основное мероприятие "Обслуживание муниципального долга"</t>
  </si>
  <si>
    <t>09710</t>
  </si>
  <si>
    <t>Основное мероприятие "Предоставление общедоступного бесплатного дошкольного образования и воспитания"</t>
  </si>
  <si>
    <t>Присмотр и уход за детьми дошкольного возраста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</si>
  <si>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</si>
  <si>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Обслуживание программного обеспечения электронного комплектования детей в дошкольной образовательной организации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</si>
  <si>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</si>
  <si>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</si>
  <si>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t>Организация питания обучающихся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</si>
  <si>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</si>
  <si>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00591</t>
  </si>
  <si>
    <t>00592</t>
  </si>
  <si>
    <t>Основное мероприятие "Реализация полномочий в сфере молодёжной политики"</t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</si>
  <si>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</si>
  <si>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Основное мероприятие "Функционирование МКУ «Управление образования, культуры и спорта ЗАТО Шиханы»"</t>
  </si>
  <si>
    <t>Функционирование МКУ «Управление образования, культуры и спорта ЗАТО Шиханы»</t>
  </si>
  <si>
    <t>Основное мероприятие "Участие в областных олимпиадах, соревнованиях и конкурсах в сфере образования"</t>
  </si>
  <si>
    <t>Участие в областных олимпиадах, соревнованиях и конкурсах в сфере образования</t>
  </si>
  <si>
    <t>Основное мероприятие "Городские мероприятия в сфере образования"</t>
  </si>
  <si>
    <t>Основное мероприятие "Организация работы клубных формирований"</t>
  </si>
  <si>
    <t>Организация работы клубных формирований</t>
  </si>
  <si>
    <t>Организация и проведение городских культурно-массовых мероприятий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</si>
  <si>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</si>
  <si>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</si>
  <si>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</si>
  <si>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</si>
  <si>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Код целевой статьи</t>
  </si>
  <si>
    <t>Програм- мная статья</t>
  </si>
  <si>
    <t>направ- ление расходов</t>
  </si>
  <si>
    <t>к отчету об исполнении приложений к решению Собрания депутатов  о бюджете ЗАТО Шиханы на 2016 год</t>
  </si>
  <si>
    <t>Расходы на обеспечение деятельности главы ЗАТО Шиханы и заместителей</t>
  </si>
  <si>
    <t>Основное мероприятие "Ведомственная целевая программа "Доступная среда ЗАТО Шиханы" на 2017-2020 годы"</t>
  </si>
  <si>
    <t>Ведомственная целевая программа "Доступная среда ЗАТО Шиханы" на 2017-2020 годы</t>
  </si>
  <si>
    <t>99050</t>
  </si>
  <si>
    <t>Основное мероприятие "Разработка,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инфраструктуры)"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</si>
  <si>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</si>
  <si>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Энергосбережение и повышение энергетической эффективности на территории ЗАТО Шиханы на 2017 год</t>
  </si>
  <si>
    <t>Основное мероприятие "Замена ламп и светильников на энергоэффективные"</t>
  </si>
  <si>
    <t>Замена ламп и светильников на энергоэффективные</t>
  </si>
  <si>
    <t>Регистрация муниципального предприятия (учреждения)</t>
  </si>
  <si>
    <t>69200</t>
  </si>
  <si>
    <t>Ремонт муниципального имущества</t>
  </si>
  <si>
    <t>Основное мероприятие "Ведомственная целевая программа "Профилактика терроризма и экстремизма в ЗАТО Шиханы на 2017 -2020 гг.""</t>
  </si>
  <si>
    <t>Ведомственная целевая программа "Профилактика терроризма и экстремизма в ЗАТО Шиханы на 2017 -2020 гг."</t>
  </si>
  <si>
    <t>99990</t>
  </si>
  <si>
    <t xml:space="preserve">Другие вопросы в области национальной безопасности и правоохранительной деятельности
</t>
  </si>
  <si>
    <t>14</t>
  </si>
  <si>
    <t>Мероприятия государственной программы Российской Федерации «Доступная среда» на 2011-2020 годы</t>
  </si>
  <si>
    <t>L0270</t>
  </si>
  <si>
    <t>Основное мероприятие "Замена ламп уличного освещения на энергосберегающие"</t>
  </si>
  <si>
    <t>Замена ламп уличного освещения на энергосберегающие</t>
  </si>
  <si>
    <t>Основное мероприятие "Вывоз мусора с несанкционированных свалок"</t>
  </si>
  <si>
    <t>Вывоз мусора с несанкционированных свалок</t>
  </si>
  <si>
    <t>Монтаж и обустройство городского катка</t>
  </si>
  <si>
    <t>Капитальный ремонт дорог</t>
  </si>
  <si>
    <t>Основное мероприятие "Строительство карты для захоронения ТБО"</t>
  </si>
  <si>
    <t>Строительство карты для захоронения ТБО</t>
  </si>
  <si>
    <t>99110</t>
  </si>
  <si>
    <t>99000</t>
  </si>
  <si>
    <t>99300</t>
  </si>
  <si>
    <t>Дизайн-проект для программы "Формирование комфортной городской среды на территории ЗАТО Шиханы Саратовской области на 2018-2020 годы"</t>
  </si>
  <si>
    <t>Обеспечение жильем молодых семей в рамках целевой программы "Жилище" на 2015-2020 годы</t>
  </si>
  <si>
    <t>Основное мероприятие "Функционирование МКУ "Редакция газеты Шиханские новости""</t>
  </si>
  <si>
    <t>Функционирование МКУ "Редакция газеты Шиханские новости"</t>
  </si>
  <si>
    <t>Основное мероприятие "Приобретение энергоэффективного оборудования и сопутствующих товаров"</t>
  </si>
  <si>
    <t>Приобретение энергоэффективного оборудования и сопутствующих товаров</t>
  </si>
  <si>
    <t>Основное мероприятие "Повышение уровня безопасности дошкольной образовательной организации"</t>
  </si>
  <si>
    <t>Повышение уровня безопасности дошкольной образовательной организации</t>
  </si>
  <si>
    <t>Основное мероприятие "Проведение капитального ремонта в общеобразовательных учреждениях"</t>
  </si>
  <si>
    <t>Проведение капитального ремонта в общеобразовательных учреждениях</t>
  </si>
  <si>
    <t>Основное мероприятие "Перевозка обучающихся при подготовке и проведении ГИА"</t>
  </si>
  <si>
    <t>Перевозка обучающихся при подготовке и проведении ГИА</t>
  </si>
  <si>
    <t>Дополнительное образование детей</t>
  </si>
  <si>
    <t>Основное мероприятие "Установка прибора учета тепловой энергии"</t>
  </si>
  <si>
    <t>Установка прибора учета тепловой энергии</t>
  </si>
  <si>
    <t xml:space="preserve">Организация обучения по программам дополнительного образования </t>
  </si>
  <si>
    <t>Организация обучения по программам дополнительного образования культурной направленности</t>
  </si>
  <si>
    <t>Организация обучения по программам дополнительного образования спортивной направленности</t>
  </si>
  <si>
    <t>Основное мероприятие "Замена одежды сцены ДШИ № 2 ЗАТО Шиханы"</t>
  </si>
  <si>
    <t>69100</t>
  </si>
  <si>
    <t>Основное мероприятие "Обеспечение повышения оплаты труда отдельным категориям работников бюджетной сферы"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</si>
  <si>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</si>
  <si>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</si>
  <si>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</si>
  <si>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Основное мероприятие "Ведомственная целевая программа "Организация отдыха, оздоровления и занятости детей в ЗАТО Шиханы на 2017-2020 годы""</t>
  </si>
  <si>
    <t>Ведомственная целевая программа "Организация отдыха, оздоровления и занятости детей в ЗАТО Шиханы на 2017-2020 годы"</t>
  </si>
  <si>
    <t>Основное мероприятие "Капитальный ремонт кровли ДК "Корунд", капитальный ремонт перекрытия дискотечного зала ДК "Корунд""</t>
  </si>
  <si>
    <t>Основное мероприятие "Организация физкультурно-массовых спортивных мероприятий"</t>
  </si>
  <si>
    <t>Организация физкультурно-массовых спортивных мероприятий</t>
  </si>
  <si>
    <t>Основное мероприятие "Содержание хоккейной коробки"</t>
  </si>
  <si>
    <t>Содержание хоккейной коробки</t>
  </si>
  <si>
    <t>Отчет об исполнении ведомственной структуры расходов бюджета ЗАТО Шиханы за 2017 год</t>
  </si>
  <si>
    <t>Начальник финансового управления</t>
  </si>
  <si>
    <t>Н.А. Егорова</t>
  </si>
  <si>
    <t>(подпись)</t>
  </si>
  <si>
    <t>(расшифровка подписи)</t>
  </si>
  <si>
    <t>Развитие муниципального управления и централизация в ЗАТО Шиханы на 2018 - 2020 годы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</si>
  <si>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</si>
  <si>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Социальная поддержка граждан в ЗАТО Шиханы на 2018-2020 годы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</si>
  <si>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</si>
  <si>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</si>
  <si>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</si>
  <si>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Осуществление отдельных государственных полномочий по государственному управлению охраной труда</t>
  </si>
  <si>
    <t>Основное мероприятие "Обеспечение деятельности Государственной автоматизированной системы «Выборы»"</t>
  </si>
  <si>
    <t>Основное мероприятие "Текущий ремонт помещений"</t>
  </si>
  <si>
    <t>Текущий ремонт помещений</t>
  </si>
  <si>
    <t>Основное мероприятие "Приобретение и установка системы видеонаблюдения"</t>
  </si>
  <si>
    <t>Приобретение и установка системы видеонаблюдения</t>
  </si>
  <si>
    <t>Основное мероприятие "Обеспечение повышения оплаты труда некоторых категорий работников муниципальных учреждений"</t>
  </si>
  <si>
    <t>Обеспечение повышения оплаты труда некоторых категорий работников муниципальных учреждений</t>
  </si>
  <si>
    <t>Развитие экономики, поддержка предпринимательства  и управление муниципальным имуществом ЗАТО Шиханы на 2018 - 2020 годы</t>
  </si>
  <si>
    <t>Основное мероприятие "Проведение текущего и капитального ремонта муниципального имущества"</t>
  </si>
  <si>
    <t>Проведение текущего и капитального ремонта муниципального имущества</t>
  </si>
  <si>
    <t>Основное мероприятие "Оплата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МКД"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</si>
  <si>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</si>
  <si>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</si>
  <si>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</si>
  <si>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</si>
  <si>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"Выявление, техническая паспортизация и принятие в казну бесхозяйных объектов"</t>
  </si>
  <si>
    <t>Выявление, техническая паспортизация и принятие в казну бесхозяйных объектов</t>
  </si>
  <si>
    <t>Исполнение судебных решений</t>
  </si>
  <si>
    <t>Исполнение судебных актов</t>
  </si>
  <si>
    <t>830</t>
  </si>
  <si>
    <t>Защита населения и территории ЗАТО Шиханы от чрезвычайных ситуаций природного и техногенного характера на 2018-2020 годы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</si>
  <si>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</si>
  <si>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Основное мероприятие "Освежение запасов средств индивидуальной защиты, ГСМ, медицинского имущества и дезинфекционных средств"</t>
  </si>
  <si>
    <t>Обеспечение пожарной безопасности</t>
  </si>
  <si>
    <t>Основное мероприятие "Ведомственная целевая программа "Пожарная безопасность городского округа ЗАТО Шиханы на 2018-2020 годы""</t>
  </si>
  <si>
    <t>Ведомственная целевая программа "Пожарная безопасность городского округа ЗАТО Шиханы на 2018-2020 годы"</t>
  </si>
  <si>
    <t>Основное мероприятие "Обеспечение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</si>
  <si>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</si>
  <si>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</si>
  <si>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Основное мероприятие "Ведомственная целевая программа "Повышение безопасности дорожного движения в ЗАТО Шиханы на 2018 - 2020 годы""</t>
  </si>
  <si>
    <t>Основное мероприятие "Энергосбережение и повышение энергетической эффективности на территории ЗАТО Шиханы на 2018-2020 годы"</t>
  </si>
  <si>
    <t>Энергосбережение и повышение энергетической эффективности на территории ЗАТО Шиханы на 2018-2020 годы</t>
  </si>
  <si>
    <t>Основное мероприятие "Замена светильников уличного освещения"</t>
  </si>
  <si>
    <t>Замена светильников уличного освещения</t>
  </si>
  <si>
    <t>Развитие физической культуры, спорта и молодежной политики в ЗАТО Шиханы на 2018 - 2020 годы</t>
  </si>
  <si>
    <t>Основное мероприятие "Ремонт ограждения стадиона по улице Школьная"</t>
  </si>
  <si>
    <t>Ремонт ограждения стадиона по улице Школьная</t>
  </si>
  <si>
    <t>Формирование комфортной городской среды на территории ЗАТО Шиханы на 2018-2022 годы</t>
  </si>
  <si>
    <t>7Г000</t>
  </si>
  <si>
    <t xml:space="preserve">Основное мероприятие "Благоустройство дворовых территорий" </t>
  </si>
  <si>
    <t>7Г001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</si>
  <si>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</si>
  <si>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</si>
  <si>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 xml:space="preserve">Основное мероприятие "Благоустройство общественных территорий" </t>
  </si>
  <si>
    <t>7Г002</t>
  </si>
  <si>
    <t xml:space="preserve">Благоустройство общественных территорий 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</si>
  <si>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</si>
  <si>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</si>
  <si>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</si>
  <si>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Основное мероприятие "Переселение граждан из ЗАТО Шиханы"</t>
  </si>
  <si>
    <t>Переселение граждан из ЗАТО Шиханы</t>
  </si>
  <si>
    <t>Развитие культуры и средств массовой информации в ЗАТО Шиханы на 2018-2020 годы</t>
  </si>
  <si>
    <t>Поддержка районных печатных средств массовой информации</t>
  </si>
  <si>
    <t>78600</t>
  </si>
  <si>
    <t>Основное мероприятие обеспечение повышения оплаты труда некоторых категорий работников муниципальных учреждений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</si>
  <si>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</si>
  <si>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</si>
  <si>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Основное мероприятие "Реализация основных общеобразовательных программ дошкольного образования"</t>
  </si>
  <si>
    <t>Основное мероприятие "Капитальный ремонт дошкольной образовательной организации"</t>
  </si>
  <si>
    <t>Капитальный ремонт дошкольной образовательной организации</t>
  </si>
  <si>
    <t>Обеспечение повышения оплаты труда некоторых категорий работников муниципальных учреждений за счет средств местного бюджета</t>
  </si>
  <si>
    <t>S2300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</si>
  <si>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</si>
  <si>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</si>
  <si>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Обеспечение образовательной деятельности муниципальных общеобразовательных учреждений</t>
  </si>
  <si>
    <t>Основное мероприятие "Капитальный ремонт общеобразовательной организации"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</si>
  <si>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</si>
  <si>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</si>
  <si>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</si>
  <si>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</si>
  <si>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</si>
  <si>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</si>
  <si>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Капитальный ремонт учреждений дополнительного образования</t>
  </si>
  <si>
    <t>Капитальный ремонт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</si>
  <si>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</si>
  <si>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</si>
  <si>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</si>
  <si>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</si>
  <si>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"Капитальный ремонт  учреждений культуры города "</t>
  </si>
  <si>
    <t xml:space="preserve">Капитальный ремонт  учреждений культуры города 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</si>
  <si>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</si>
  <si>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</si>
  <si>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</si>
  <si>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</si>
  <si>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"Приобретение спортивного инвентаря для приема норм ГТО"</t>
  </si>
  <si>
    <t>Приобретение спортивного инвентаря для приема норм ГТО</t>
  </si>
  <si>
    <t>Основное мероприятие "Поездки в бассейн и ледовый дворец г. Вольск"</t>
  </si>
  <si>
    <t>Поездки в бассейн и ледовый дворец г. Вольск</t>
  </si>
  <si>
    <t>Основное мероприятие "Замена оснащения городских плоскостных сооружений"</t>
  </si>
  <si>
    <t>Замена оснащения городских плоскостных сооружений</t>
  </si>
  <si>
    <t>тыс. рублей</t>
  </si>
  <si>
    <t>Отчет об исполнении ведомственной структуры расходов бюджета ЗАТО Шиханы за 1 квартал 2018 года</t>
  </si>
  <si>
    <t>% исполнения</t>
  </si>
  <si>
    <t>Программная статья</t>
  </si>
  <si>
    <t xml:space="preserve">Начальник финансового управления </t>
  </si>
  <si>
    <t>Н.А.Егорова</t>
  </si>
  <si>
    <t>з/н</t>
  </si>
  <si>
    <t xml:space="preserve">Приложение № 3 </t>
  </si>
  <si>
    <t>к постановлению администрации ЗАТО Шиханы</t>
  </si>
  <si>
    <r>
      <t xml:space="preserve">от  </t>
    </r>
    <r>
      <rPr>
        <u val="single"/>
        <sz val="12"/>
        <rFont val="Arial"/>
        <family val="2"/>
      </rPr>
      <t>28.04.2018 г.</t>
    </r>
    <r>
      <rPr>
        <sz val="12"/>
        <rFont val="Arial"/>
        <family val="2"/>
      </rPr>
      <t xml:space="preserve"> №  </t>
    </r>
    <r>
      <rPr>
        <u val="single"/>
        <sz val="12"/>
        <rFont val="Arial"/>
        <family val="2"/>
      </rPr>
      <t>187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</si>
</sst>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  <numFmt numFmtId="178" formatCode="0.0%"/>
    <numFmt numFmtId="179" formatCode="0.0E+00"/>
    <numFmt numFmtId="180" formatCode="#,##0.0_р_."/>
  </numFmts>
  <fonts count="6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.3"/>
      <name val="Times New Roman"/>
      <family val="1"/>
    </font>
    <font>
      <sz val="9.3"/>
      <name val="Times New Roman"/>
      <family val="1"/>
    </font>
    <font>
      <sz val="9"/>
      <name val="Times New Roman"/>
      <family val="1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33" borderId="0" xfId="0" applyFont="1" applyFill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5" fontId="7" fillId="33" borderId="11" xfId="0" applyNumberFormat="1" applyFont="1" applyFill="1" applyBorder="1" applyAlignment="1">
      <alignment horizontal="right"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49" fontId="8" fillId="33" borderId="11" xfId="53" applyNumberFormat="1" applyFont="1" applyFill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175" fontId="8" fillId="33" borderId="11" xfId="0" applyNumberFormat="1" applyFont="1" applyFill="1" applyBorder="1" applyAlignment="1">
      <alignment horizontal="right" vertical="center" wrapText="1"/>
    </xf>
    <xf numFmtId="175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49" fontId="22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top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175" fontId="4" fillId="0" borderId="0" xfId="0" applyNumberFormat="1" applyFont="1" applyFill="1" applyAlignment="1">
      <alignment wrapText="1"/>
    </xf>
    <xf numFmtId="175" fontId="4" fillId="0" borderId="0" xfId="0" applyNumberFormat="1" applyFont="1" applyFill="1" applyAlignment="1">
      <alignment horizont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49" fontId="21" fillId="33" borderId="0" xfId="0" applyNumberFormat="1" applyFont="1" applyFill="1" applyAlignment="1">
      <alignment wrapText="1"/>
    </xf>
    <xf numFmtId="49" fontId="21" fillId="33" borderId="0" xfId="0" applyNumberFormat="1" applyFont="1" applyFill="1" applyAlignment="1">
      <alignment horizontal="center" wrapText="1"/>
    </xf>
    <xf numFmtId="0" fontId="4" fillId="33" borderId="16" xfId="0" applyFont="1" applyFill="1" applyBorder="1" applyAlignment="1">
      <alignment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5" fontId="11" fillId="33" borderId="11" xfId="0" applyNumberFormat="1" applyFont="1" applyFill="1" applyBorder="1" applyAlignment="1">
      <alignment horizontal="right"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175" fontId="24" fillId="33" borderId="11" xfId="0" applyNumberFormat="1" applyFont="1" applyFill="1" applyBorder="1" applyAlignment="1">
      <alignment horizontal="right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175" fontId="24" fillId="33" borderId="11" xfId="0" applyNumberFormat="1" applyFont="1" applyFill="1" applyBorder="1" applyAlignment="1">
      <alignment horizontal="right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75" fontId="23" fillId="33" borderId="11" xfId="0" applyNumberFormat="1" applyFont="1" applyFill="1" applyBorder="1" applyAlignment="1">
      <alignment horizontal="right" vertical="center"/>
    </xf>
    <xf numFmtId="0" fontId="24" fillId="33" borderId="11" xfId="0" applyNumberFormat="1" applyFont="1" applyFill="1" applyBorder="1" applyAlignment="1">
      <alignment horizontal="left" vertical="center" wrapText="1"/>
    </xf>
    <xf numFmtId="180" fontId="24" fillId="33" borderId="11" xfId="0" applyNumberFormat="1" applyFont="1" applyFill="1" applyBorder="1" applyAlignment="1">
      <alignment horizontal="right" vertical="center" wrapText="1"/>
    </xf>
    <xf numFmtId="49" fontId="24" fillId="33" borderId="11" xfId="53" applyNumberFormat="1" applyFont="1" applyFill="1" applyBorder="1" applyAlignment="1">
      <alignment horizontal="left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49" fontId="24" fillId="33" borderId="12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21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right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49" fontId="20" fillId="33" borderId="17" xfId="0" applyNumberFormat="1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5" fillId="33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center" vertical="center" wrapText="1"/>
    </xf>
    <xf numFmtId="0" fontId="4" fillId="33" borderId="16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49" fontId="22" fillId="0" borderId="0" xfId="0" applyNumberFormat="1" applyFont="1" applyFill="1" applyAlignment="1">
      <alignment horizont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175" fontId="21" fillId="0" borderId="0" xfId="0" applyNumberFormat="1" applyFont="1" applyFill="1" applyAlignment="1">
      <alignment horizontal="center" wrapText="1"/>
    </xf>
    <xf numFmtId="175" fontId="29" fillId="0" borderId="17" xfId="0" applyNumberFormat="1" applyFont="1" applyFill="1" applyBorder="1" applyAlignment="1">
      <alignment horizontal="center" wrapText="1"/>
    </xf>
    <xf numFmtId="49" fontId="29" fillId="0" borderId="1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5"/>
  <sheetViews>
    <sheetView view="pageBreakPreview" zoomScale="85" zoomScaleNormal="75" zoomScaleSheetLayoutView="85" zoomScalePageLayoutView="0" workbookViewId="0" topLeftCell="A1">
      <pane ySplit="8" topLeftCell="A539" activePane="bottomLeft" state="frozen"/>
      <selection pane="topLeft" activeCell="A1" sqref="A1"/>
      <selection pane="bottomLeft" activeCell="K551" sqref="K551"/>
    </sheetView>
  </sheetViews>
  <sheetFormatPr defaultColWidth="9.00390625" defaultRowHeight="12.75"/>
  <cols>
    <col min="1" max="1" width="57.25390625" style="1" customWidth="1"/>
    <col min="2" max="2" width="5.875" style="2" customWidth="1"/>
    <col min="3" max="3" width="5.25390625" style="1" customWidth="1"/>
    <col min="4" max="4" width="5.125" style="1" customWidth="1"/>
    <col min="5" max="6" width="9.25390625" style="1" customWidth="1"/>
    <col min="7" max="7" width="6.00390625" style="1" customWidth="1"/>
    <col min="8" max="8" width="11.875" style="4" customWidth="1"/>
    <col min="9" max="9" width="14.875" style="4" customWidth="1"/>
    <col min="10" max="10" width="13.125" style="4" customWidth="1"/>
    <col min="11" max="11" width="11.25390625" style="4" customWidth="1"/>
    <col min="12" max="16384" width="9.125" style="4" customWidth="1"/>
  </cols>
  <sheetData>
    <row r="1" spans="1:11" s="3" customFormat="1" ht="18.75" customHeight="1">
      <c r="A1" s="1"/>
      <c r="B1" s="2"/>
      <c r="C1" s="1"/>
      <c r="D1" s="1"/>
      <c r="E1" s="1"/>
      <c r="F1" s="1"/>
      <c r="G1" s="1"/>
      <c r="H1" s="4"/>
      <c r="I1" s="105" t="s">
        <v>140</v>
      </c>
      <c r="J1" s="105"/>
      <c r="K1" s="105"/>
    </row>
    <row r="2" spans="1:11" s="3" customFormat="1" ht="35.25" customHeight="1">
      <c r="A2" s="1"/>
      <c r="B2" s="2"/>
      <c r="C2" s="1"/>
      <c r="D2" s="1"/>
      <c r="E2" s="1"/>
      <c r="F2" s="1"/>
      <c r="G2" s="1"/>
      <c r="H2" s="106" t="s">
        <v>238</v>
      </c>
      <c r="I2" s="106"/>
      <c r="J2" s="106"/>
      <c r="K2" s="106"/>
    </row>
    <row r="3" spans="1:11" s="3" customFormat="1" ht="33.75" customHeight="1">
      <c r="A3" s="107" t="s">
        <v>300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9" s="3" customFormat="1" ht="12.75" customHeight="1">
      <c r="A4" s="44"/>
      <c r="B4" s="44"/>
      <c r="C4" s="44"/>
      <c r="D4" s="44"/>
      <c r="E4" s="44"/>
      <c r="F4" s="44"/>
      <c r="G4" s="44"/>
      <c r="H4" s="44"/>
      <c r="I4" s="45"/>
    </row>
    <row r="5" spans="1:11" s="3" customFormat="1" ht="18.75" customHeight="1">
      <c r="A5" s="1"/>
      <c r="B5" s="2"/>
      <c r="C5" s="1"/>
      <c r="D5" s="1"/>
      <c r="E5" s="1"/>
      <c r="F5" s="1"/>
      <c r="G5" s="1"/>
      <c r="H5" s="108" t="s">
        <v>134</v>
      </c>
      <c r="I5" s="108"/>
      <c r="J5" s="108"/>
      <c r="K5" s="108"/>
    </row>
    <row r="6" spans="1:11" ht="28.5" customHeight="1">
      <c r="A6" s="109" t="s">
        <v>0</v>
      </c>
      <c r="B6" s="109" t="s">
        <v>28</v>
      </c>
      <c r="C6" s="109" t="s">
        <v>9</v>
      </c>
      <c r="D6" s="109" t="s">
        <v>10</v>
      </c>
      <c r="E6" s="110" t="s">
        <v>235</v>
      </c>
      <c r="F6" s="111"/>
      <c r="G6" s="109" t="s">
        <v>11</v>
      </c>
      <c r="H6" s="67">
        <v>2017</v>
      </c>
      <c r="I6" s="68"/>
      <c r="J6" s="112" t="s">
        <v>137</v>
      </c>
      <c r="K6" s="113"/>
    </row>
    <row r="7" spans="1:11" ht="18" customHeight="1">
      <c r="A7" s="109"/>
      <c r="B7" s="109"/>
      <c r="C7" s="109"/>
      <c r="D7" s="109"/>
      <c r="E7" s="109" t="s">
        <v>236</v>
      </c>
      <c r="F7" s="109" t="s">
        <v>237</v>
      </c>
      <c r="G7" s="109"/>
      <c r="H7" s="113" t="s">
        <v>135</v>
      </c>
      <c r="I7" s="114" t="s">
        <v>136</v>
      </c>
      <c r="J7" s="113" t="s">
        <v>138</v>
      </c>
      <c r="K7" s="114" t="s">
        <v>139</v>
      </c>
    </row>
    <row r="8" spans="1:11" s="5" customFormat="1" ht="22.5" customHeight="1">
      <c r="A8" s="109"/>
      <c r="B8" s="109"/>
      <c r="C8" s="109"/>
      <c r="D8" s="109"/>
      <c r="E8" s="109"/>
      <c r="F8" s="109"/>
      <c r="G8" s="109"/>
      <c r="H8" s="113"/>
      <c r="I8" s="114"/>
      <c r="J8" s="113"/>
      <c r="K8" s="114"/>
    </row>
    <row r="9" spans="1:11" s="10" customFormat="1" ht="38.25">
      <c r="A9" s="6" t="s">
        <v>53</v>
      </c>
      <c r="B9" s="7" t="s">
        <v>32</v>
      </c>
      <c r="C9" s="7"/>
      <c r="D9" s="7"/>
      <c r="E9" s="7"/>
      <c r="F9" s="7"/>
      <c r="G9" s="7"/>
      <c r="H9" s="8">
        <f aca="true" t="shared" si="0" ref="H9:J13">H10</f>
        <v>654.7</v>
      </c>
      <c r="I9" s="8">
        <f t="shared" si="0"/>
        <v>586.3</v>
      </c>
      <c r="J9" s="8">
        <f t="shared" si="0"/>
        <v>-68.40000000000009</v>
      </c>
      <c r="K9" s="9">
        <f>I9/H9*100-100</f>
        <v>-10.447533221322757</v>
      </c>
    </row>
    <row r="10" spans="1:11" s="13" customFormat="1" ht="12.75">
      <c r="A10" s="11" t="s">
        <v>13</v>
      </c>
      <c r="B10" s="12" t="s">
        <v>32</v>
      </c>
      <c r="C10" s="12" t="s">
        <v>1</v>
      </c>
      <c r="D10" s="12"/>
      <c r="E10" s="12"/>
      <c r="F10" s="12"/>
      <c r="G10" s="12"/>
      <c r="H10" s="9">
        <f t="shared" si="0"/>
        <v>654.7</v>
      </c>
      <c r="I10" s="9">
        <f t="shared" si="0"/>
        <v>586.3</v>
      </c>
      <c r="J10" s="9">
        <f t="shared" si="0"/>
        <v>-68.40000000000009</v>
      </c>
      <c r="K10" s="9">
        <f aca="true" t="shared" si="1" ref="K10:K73">I10/H10*100-100</f>
        <v>-10.447533221322757</v>
      </c>
    </row>
    <row r="11" spans="1:11" s="13" customFormat="1" ht="38.25">
      <c r="A11" s="11" t="s">
        <v>37</v>
      </c>
      <c r="B11" s="12" t="s">
        <v>32</v>
      </c>
      <c r="C11" s="12" t="s">
        <v>1</v>
      </c>
      <c r="D11" s="12" t="s">
        <v>5</v>
      </c>
      <c r="E11" s="12"/>
      <c r="F11" s="12"/>
      <c r="G11" s="12"/>
      <c r="H11" s="9">
        <f t="shared" si="0"/>
        <v>654.7</v>
      </c>
      <c r="I11" s="9">
        <f t="shared" si="0"/>
        <v>586.3</v>
      </c>
      <c r="J11" s="9">
        <f t="shared" si="0"/>
        <v>-68.40000000000009</v>
      </c>
      <c r="K11" s="9">
        <f t="shared" si="1"/>
        <v>-10.447533221322757</v>
      </c>
    </row>
    <row r="12" spans="1:11" s="13" customFormat="1" ht="25.5">
      <c r="A12" s="14" t="s">
        <v>98</v>
      </c>
      <c r="B12" s="12" t="s">
        <v>32</v>
      </c>
      <c r="C12" s="12" t="s">
        <v>1</v>
      </c>
      <c r="D12" s="12" t="s">
        <v>5</v>
      </c>
      <c r="E12" s="15">
        <v>71000</v>
      </c>
      <c r="F12" s="16" t="s">
        <v>141</v>
      </c>
      <c r="G12" s="12"/>
      <c r="H12" s="9">
        <f t="shared" si="0"/>
        <v>654.7</v>
      </c>
      <c r="I12" s="9">
        <f t="shared" si="0"/>
        <v>586.3</v>
      </c>
      <c r="J12" s="9">
        <f t="shared" si="0"/>
        <v>-68.40000000000009</v>
      </c>
      <c r="K12" s="9">
        <f t="shared" si="1"/>
        <v>-10.447533221322757</v>
      </c>
    </row>
    <row r="13" spans="1:11" s="13" customFormat="1" ht="25.5">
      <c r="A13" s="14" t="s">
        <v>142</v>
      </c>
      <c r="B13" s="12" t="s">
        <v>32</v>
      </c>
      <c r="C13" s="12" t="s">
        <v>1</v>
      </c>
      <c r="D13" s="12" t="s">
        <v>5</v>
      </c>
      <c r="E13" s="17">
        <v>71001</v>
      </c>
      <c r="F13" s="18" t="s">
        <v>141</v>
      </c>
      <c r="G13" s="12"/>
      <c r="H13" s="9">
        <f t="shared" si="0"/>
        <v>654.7</v>
      </c>
      <c r="I13" s="9">
        <f t="shared" si="0"/>
        <v>586.3</v>
      </c>
      <c r="J13" s="9">
        <f t="shared" si="0"/>
        <v>-68.40000000000009</v>
      </c>
      <c r="K13" s="9">
        <f t="shared" si="1"/>
        <v>-10.447533221322757</v>
      </c>
    </row>
    <row r="14" spans="1:11" s="13" customFormat="1" ht="12.75">
      <c r="A14" s="14" t="s">
        <v>143</v>
      </c>
      <c r="B14" s="12" t="s">
        <v>32</v>
      </c>
      <c r="C14" s="12" t="s">
        <v>1</v>
      </c>
      <c r="D14" s="12" t="s">
        <v>5</v>
      </c>
      <c r="E14" s="17">
        <v>71001</v>
      </c>
      <c r="F14" s="18" t="s">
        <v>144</v>
      </c>
      <c r="G14" s="12"/>
      <c r="H14" s="9">
        <f>H15+H17</f>
        <v>654.7</v>
      </c>
      <c r="I14" s="9">
        <f>I15+I17</f>
        <v>586.3</v>
      </c>
      <c r="J14" s="9">
        <f>J15+J17</f>
        <v>-68.40000000000009</v>
      </c>
      <c r="K14" s="9">
        <f t="shared" si="1"/>
        <v>-10.447533221322757</v>
      </c>
    </row>
    <row r="15" spans="1:11" s="13" customFormat="1" ht="53.25" customHeight="1">
      <c r="A15" s="11" t="s">
        <v>58</v>
      </c>
      <c r="B15" s="12" t="s">
        <v>32</v>
      </c>
      <c r="C15" s="12" t="s">
        <v>1</v>
      </c>
      <c r="D15" s="12" t="s">
        <v>5</v>
      </c>
      <c r="E15" s="17">
        <v>71001</v>
      </c>
      <c r="F15" s="18" t="s">
        <v>144</v>
      </c>
      <c r="G15" s="12" t="s">
        <v>57</v>
      </c>
      <c r="H15" s="9">
        <f>H16</f>
        <v>649.7</v>
      </c>
      <c r="I15" s="9">
        <f>I16</f>
        <v>586.3</v>
      </c>
      <c r="J15" s="9">
        <f>J16</f>
        <v>-63.40000000000009</v>
      </c>
      <c r="K15" s="9">
        <f t="shared" si="1"/>
        <v>-9.758350007695867</v>
      </c>
    </row>
    <row r="16" spans="1:11" s="13" customFormat="1" ht="25.5">
      <c r="A16" s="11" t="s">
        <v>60</v>
      </c>
      <c r="B16" s="12" t="s">
        <v>32</v>
      </c>
      <c r="C16" s="12" t="s">
        <v>1</v>
      </c>
      <c r="D16" s="12" t="s">
        <v>5</v>
      </c>
      <c r="E16" s="17">
        <v>71001</v>
      </c>
      <c r="F16" s="18" t="s">
        <v>144</v>
      </c>
      <c r="G16" s="12" t="s">
        <v>59</v>
      </c>
      <c r="H16" s="9">
        <v>649.7</v>
      </c>
      <c r="I16" s="9">
        <v>586.3</v>
      </c>
      <c r="J16" s="9">
        <f>I16-H16</f>
        <v>-63.40000000000009</v>
      </c>
      <c r="K16" s="9">
        <f t="shared" si="1"/>
        <v>-9.758350007695867</v>
      </c>
    </row>
    <row r="17" spans="1:11" s="13" customFormat="1" ht="25.5">
      <c r="A17" s="11" t="s">
        <v>62</v>
      </c>
      <c r="B17" s="12" t="s">
        <v>32</v>
      </c>
      <c r="C17" s="12" t="s">
        <v>1</v>
      </c>
      <c r="D17" s="12" t="s">
        <v>5</v>
      </c>
      <c r="E17" s="17">
        <v>71001</v>
      </c>
      <c r="F17" s="18" t="s">
        <v>144</v>
      </c>
      <c r="G17" s="12" t="s">
        <v>61</v>
      </c>
      <c r="H17" s="9">
        <f>H18</f>
        <v>5</v>
      </c>
      <c r="I17" s="9">
        <f>I18</f>
        <v>0</v>
      </c>
      <c r="J17" s="9">
        <f>J18</f>
        <v>-5</v>
      </c>
      <c r="K17" s="9">
        <f t="shared" si="1"/>
        <v>-100</v>
      </c>
    </row>
    <row r="18" spans="1:11" s="13" customFormat="1" ht="27.75" customHeight="1">
      <c r="A18" s="11" t="s">
        <v>63</v>
      </c>
      <c r="B18" s="12" t="s">
        <v>32</v>
      </c>
      <c r="C18" s="12" t="s">
        <v>1</v>
      </c>
      <c r="D18" s="12" t="s">
        <v>5</v>
      </c>
      <c r="E18" s="17">
        <v>71001</v>
      </c>
      <c r="F18" s="18" t="s">
        <v>144</v>
      </c>
      <c r="G18" s="12" t="s">
        <v>17</v>
      </c>
      <c r="H18" s="9">
        <f>16-11</f>
        <v>5</v>
      </c>
      <c r="I18" s="9">
        <v>0</v>
      </c>
      <c r="J18" s="9">
        <f>I18-H18</f>
        <v>-5</v>
      </c>
      <c r="K18" s="9">
        <f t="shared" si="1"/>
        <v>-100</v>
      </c>
    </row>
    <row r="19" spans="1:11" s="21" customFormat="1" ht="39.75" customHeight="1">
      <c r="A19" s="22" t="s">
        <v>145</v>
      </c>
      <c r="B19" s="23" t="s">
        <v>33</v>
      </c>
      <c r="C19" s="23"/>
      <c r="D19" s="23"/>
      <c r="E19" s="23"/>
      <c r="F19" s="23"/>
      <c r="G19" s="23"/>
      <c r="H19" s="8">
        <f>H20+H136+H143+H168+H202+H256+H263+H294+H301</f>
        <v>69451</v>
      </c>
      <c r="I19" s="8">
        <f>I20+I136+I143+I168+I202+I256+I263+I294+I301</f>
        <v>55275.3</v>
      </c>
      <c r="J19" s="8">
        <f>J20+J136+J143+J168+J202+J256+J263+J294+J301</f>
        <v>-14175.7</v>
      </c>
      <c r="K19" s="9">
        <f t="shared" si="1"/>
        <v>-20.41108119393529</v>
      </c>
    </row>
    <row r="20" spans="1:11" s="21" customFormat="1" ht="12.75">
      <c r="A20" s="11" t="s">
        <v>13</v>
      </c>
      <c r="B20" s="19" t="s">
        <v>33</v>
      </c>
      <c r="C20" s="19" t="s">
        <v>1</v>
      </c>
      <c r="D20" s="19"/>
      <c r="E20" s="23"/>
      <c r="F20" s="23"/>
      <c r="G20" s="23"/>
      <c r="H20" s="9">
        <f>H21+H27+H84+H90+H78</f>
        <v>20401.6</v>
      </c>
      <c r="I20" s="9">
        <f>I21+I27+I84+I90+I78</f>
        <v>19719.3</v>
      </c>
      <c r="J20" s="9">
        <f>J21+J27+J84+J90+J78</f>
        <v>-682.2999999999996</v>
      </c>
      <c r="K20" s="9">
        <f t="shared" si="1"/>
        <v>-3.3443455415261525</v>
      </c>
    </row>
    <row r="21" spans="1:11" s="21" customFormat="1" ht="25.5">
      <c r="A21" s="11" t="s">
        <v>146</v>
      </c>
      <c r="B21" s="19" t="s">
        <v>33</v>
      </c>
      <c r="C21" s="19" t="s">
        <v>1</v>
      </c>
      <c r="D21" s="19" t="s">
        <v>6</v>
      </c>
      <c r="E21" s="20"/>
      <c r="F21" s="20"/>
      <c r="G21" s="20"/>
      <c r="H21" s="9">
        <f aca="true" t="shared" si="2" ref="H21:J25">H22</f>
        <v>1205.1</v>
      </c>
      <c r="I21" s="9">
        <f t="shared" si="2"/>
        <v>1194</v>
      </c>
      <c r="J21" s="9">
        <f t="shared" si="2"/>
        <v>-11.099999999999909</v>
      </c>
      <c r="K21" s="9">
        <f t="shared" si="1"/>
        <v>-0.9210853871047959</v>
      </c>
    </row>
    <row r="22" spans="1:11" s="21" customFormat="1" ht="25.5">
      <c r="A22" s="14" t="s">
        <v>98</v>
      </c>
      <c r="B22" s="19" t="s">
        <v>33</v>
      </c>
      <c r="C22" s="19" t="s">
        <v>1</v>
      </c>
      <c r="D22" s="19" t="s">
        <v>6</v>
      </c>
      <c r="E22" s="15">
        <v>71000</v>
      </c>
      <c r="F22" s="16" t="s">
        <v>141</v>
      </c>
      <c r="G22" s="20"/>
      <c r="H22" s="9">
        <f t="shared" si="2"/>
        <v>1205.1</v>
      </c>
      <c r="I22" s="9">
        <f t="shared" si="2"/>
        <v>1194</v>
      </c>
      <c r="J22" s="9">
        <f t="shared" si="2"/>
        <v>-11.099999999999909</v>
      </c>
      <c r="K22" s="9">
        <f t="shared" si="1"/>
        <v>-0.9210853871047959</v>
      </c>
    </row>
    <row r="23" spans="1:11" s="21" customFormat="1" ht="25.5">
      <c r="A23" s="14" t="s">
        <v>142</v>
      </c>
      <c r="B23" s="19" t="s">
        <v>33</v>
      </c>
      <c r="C23" s="19" t="s">
        <v>1</v>
      </c>
      <c r="D23" s="19" t="s">
        <v>6</v>
      </c>
      <c r="E23" s="17">
        <v>71001</v>
      </c>
      <c r="F23" s="18" t="s">
        <v>141</v>
      </c>
      <c r="G23" s="20"/>
      <c r="H23" s="9">
        <f t="shared" si="2"/>
        <v>1205.1</v>
      </c>
      <c r="I23" s="9">
        <f t="shared" si="2"/>
        <v>1194</v>
      </c>
      <c r="J23" s="9">
        <f t="shared" si="2"/>
        <v>-11.099999999999909</v>
      </c>
      <c r="K23" s="9">
        <f t="shared" si="1"/>
        <v>-0.9210853871047959</v>
      </c>
    </row>
    <row r="24" spans="1:11" s="21" customFormat="1" ht="25.5">
      <c r="A24" s="11" t="s">
        <v>239</v>
      </c>
      <c r="B24" s="19" t="s">
        <v>33</v>
      </c>
      <c r="C24" s="19" t="s">
        <v>1</v>
      </c>
      <c r="D24" s="19" t="s">
        <v>6</v>
      </c>
      <c r="E24" s="17">
        <v>71001</v>
      </c>
      <c r="F24" s="18" t="s">
        <v>147</v>
      </c>
      <c r="G24" s="20"/>
      <c r="H24" s="9">
        <f t="shared" si="2"/>
        <v>1205.1</v>
      </c>
      <c r="I24" s="9">
        <f t="shared" si="2"/>
        <v>1194</v>
      </c>
      <c r="J24" s="9">
        <f t="shared" si="2"/>
        <v>-11.099999999999909</v>
      </c>
      <c r="K24" s="9">
        <f t="shared" si="1"/>
        <v>-0.9210853871047959</v>
      </c>
    </row>
    <row r="25" spans="1:11" s="21" customFormat="1" ht="51">
      <c r="A25" s="11" t="s">
        <v>58</v>
      </c>
      <c r="B25" s="19" t="s">
        <v>33</v>
      </c>
      <c r="C25" s="19" t="s">
        <v>1</v>
      </c>
      <c r="D25" s="19" t="s">
        <v>6</v>
      </c>
      <c r="E25" s="17">
        <v>71001</v>
      </c>
      <c r="F25" s="18" t="s">
        <v>147</v>
      </c>
      <c r="G25" s="20" t="s">
        <v>57</v>
      </c>
      <c r="H25" s="9">
        <f t="shared" si="2"/>
        <v>1205.1</v>
      </c>
      <c r="I25" s="9">
        <f t="shared" si="2"/>
        <v>1194</v>
      </c>
      <c r="J25" s="9">
        <f t="shared" si="2"/>
        <v>-11.099999999999909</v>
      </c>
      <c r="K25" s="9">
        <f t="shared" si="1"/>
        <v>-0.9210853871047959</v>
      </c>
    </row>
    <row r="26" spans="1:11" s="21" customFormat="1" ht="25.5">
      <c r="A26" s="11" t="s">
        <v>60</v>
      </c>
      <c r="B26" s="19" t="s">
        <v>33</v>
      </c>
      <c r="C26" s="19" t="s">
        <v>1</v>
      </c>
      <c r="D26" s="19" t="s">
        <v>6</v>
      </c>
      <c r="E26" s="17">
        <v>71001</v>
      </c>
      <c r="F26" s="18" t="s">
        <v>147</v>
      </c>
      <c r="G26" s="20" t="s">
        <v>59</v>
      </c>
      <c r="H26" s="9">
        <f>820.3+293+91.8</f>
        <v>1205.1</v>
      </c>
      <c r="I26" s="9">
        <v>1194</v>
      </c>
      <c r="J26" s="9">
        <f>I26-H26</f>
        <v>-11.099999999999909</v>
      </c>
      <c r="K26" s="9">
        <f t="shared" si="1"/>
        <v>-0.9210853871047959</v>
      </c>
    </row>
    <row r="27" spans="1:11" s="21" customFormat="1" ht="38.25">
      <c r="A27" s="11" t="s">
        <v>43</v>
      </c>
      <c r="B27" s="19" t="s">
        <v>33</v>
      </c>
      <c r="C27" s="19" t="s">
        <v>1</v>
      </c>
      <c r="D27" s="19" t="s">
        <v>8</v>
      </c>
      <c r="E27" s="20"/>
      <c r="F27" s="20"/>
      <c r="G27" s="20"/>
      <c r="H27" s="9">
        <f>H28+H48</f>
        <v>7097.499999999999</v>
      </c>
      <c r="I27" s="9">
        <f>I28+I48</f>
        <v>6704.300000000001</v>
      </c>
      <c r="J27" s="9">
        <f>J28+J48</f>
        <v>-393.2</v>
      </c>
      <c r="K27" s="9">
        <f t="shared" si="1"/>
        <v>-5.539978865797792</v>
      </c>
    </row>
    <row r="28" spans="1:11" s="21" customFormat="1" ht="26.25" customHeight="1">
      <c r="A28" s="14" t="s">
        <v>98</v>
      </c>
      <c r="B28" s="19" t="s">
        <v>33</v>
      </c>
      <c r="C28" s="19" t="s">
        <v>1</v>
      </c>
      <c r="D28" s="19" t="s">
        <v>8</v>
      </c>
      <c r="E28" s="15">
        <v>71000</v>
      </c>
      <c r="F28" s="16" t="s">
        <v>141</v>
      </c>
      <c r="G28" s="20"/>
      <c r="H28" s="9">
        <f>H29</f>
        <v>6109.599999999999</v>
      </c>
      <c r="I28" s="9">
        <f>I29</f>
        <v>5739.500000000001</v>
      </c>
      <c r="J28" s="9">
        <f>J29</f>
        <v>-370.1</v>
      </c>
      <c r="K28" s="9">
        <f t="shared" si="1"/>
        <v>-6.057679717166408</v>
      </c>
    </row>
    <row r="29" spans="1:11" s="21" customFormat="1" ht="28.5" customHeight="1">
      <c r="A29" s="14" t="s">
        <v>142</v>
      </c>
      <c r="B29" s="19" t="s">
        <v>33</v>
      </c>
      <c r="C29" s="19" t="s">
        <v>1</v>
      </c>
      <c r="D29" s="19" t="s">
        <v>8</v>
      </c>
      <c r="E29" s="17">
        <v>71001</v>
      </c>
      <c r="F29" s="18" t="s">
        <v>141</v>
      </c>
      <c r="G29" s="20"/>
      <c r="H29" s="9">
        <f>H33+H40+H30</f>
        <v>6109.599999999999</v>
      </c>
      <c r="I29" s="9">
        <f>I33+I40+I30</f>
        <v>5739.500000000001</v>
      </c>
      <c r="J29" s="9">
        <f>J33+J40+J30</f>
        <v>-370.1</v>
      </c>
      <c r="K29" s="9">
        <f t="shared" si="1"/>
        <v>-6.057679717166408</v>
      </c>
    </row>
    <row r="30" spans="1:11" s="21" customFormat="1" ht="25.5">
      <c r="A30" s="11" t="s">
        <v>239</v>
      </c>
      <c r="B30" s="19" t="s">
        <v>33</v>
      </c>
      <c r="C30" s="19" t="s">
        <v>1</v>
      </c>
      <c r="D30" s="19" t="s">
        <v>8</v>
      </c>
      <c r="E30" s="17">
        <v>71001</v>
      </c>
      <c r="F30" s="18" t="s">
        <v>147</v>
      </c>
      <c r="G30" s="20"/>
      <c r="H30" s="9">
        <f aca="true" t="shared" si="3" ref="H30:J31">H31</f>
        <v>698.5</v>
      </c>
      <c r="I30" s="9">
        <f t="shared" si="3"/>
        <v>686.8</v>
      </c>
      <c r="J30" s="9">
        <f t="shared" si="3"/>
        <v>-11.700000000000045</v>
      </c>
      <c r="K30" s="9">
        <f t="shared" si="1"/>
        <v>-1.6750178954903419</v>
      </c>
    </row>
    <row r="31" spans="1:11" s="21" customFormat="1" ht="51">
      <c r="A31" s="11" t="s">
        <v>58</v>
      </c>
      <c r="B31" s="19" t="s">
        <v>33</v>
      </c>
      <c r="C31" s="19" t="s">
        <v>1</v>
      </c>
      <c r="D31" s="19" t="s">
        <v>8</v>
      </c>
      <c r="E31" s="17">
        <v>71001</v>
      </c>
      <c r="F31" s="18" t="s">
        <v>147</v>
      </c>
      <c r="G31" s="20" t="s">
        <v>57</v>
      </c>
      <c r="H31" s="9">
        <f t="shared" si="3"/>
        <v>698.5</v>
      </c>
      <c r="I31" s="9">
        <f t="shared" si="3"/>
        <v>686.8</v>
      </c>
      <c r="J31" s="9">
        <f t="shared" si="3"/>
        <v>-11.700000000000045</v>
      </c>
      <c r="K31" s="9">
        <f t="shared" si="1"/>
        <v>-1.6750178954903419</v>
      </c>
    </row>
    <row r="32" spans="1:11" s="21" customFormat="1" ht="25.5">
      <c r="A32" s="11" t="s">
        <v>60</v>
      </c>
      <c r="B32" s="19" t="s">
        <v>33</v>
      </c>
      <c r="C32" s="19" t="s">
        <v>1</v>
      </c>
      <c r="D32" s="19" t="s">
        <v>8</v>
      </c>
      <c r="E32" s="17">
        <v>71001</v>
      </c>
      <c r="F32" s="18" t="s">
        <v>147</v>
      </c>
      <c r="G32" s="20" t="s">
        <v>59</v>
      </c>
      <c r="H32" s="9">
        <f>1263.3-95.1-228.7-241</f>
        <v>698.5</v>
      </c>
      <c r="I32" s="9">
        <v>686.8</v>
      </c>
      <c r="J32" s="9">
        <f>I32-H32</f>
        <v>-11.700000000000045</v>
      </c>
      <c r="K32" s="9">
        <f t="shared" si="1"/>
        <v>-1.6750178954903419</v>
      </c>
    </row>
    <row r="33" spans="1:11" s="21" customFormat="1" ht="12.75">
      <c r="A33" s="14" t="s">
        <v>143</v>
      </c>
      <c r="B33" s="19" t="s">
        <v>33</v>
      </c>
      <c r="C33" s="19" t="s">
        <v>1</v>
      </c>
      <c r="D33" s="19" t="s">
        <v>8</v>
      </c>
      <c r="E33" s="24">
        <v>71001</v>
      </c>
      <c r="F33" s="25" t="s">
        <v>144</v>
      </c>
      <c r="G33" s="20"/>
      <c r="H33" s="9">
        <f>H34+H36+H38</f>
        <v>5215.9</v>
      </c>
      <c r="I33" s="9">
        <f>I34+I36+I38</f>
        <v>4858.1</v>
      </c>
      <c r="J33" s="9">
        <f>J34+J36+J38</f>
        <v>-357.79999999999995</v>
      </c>
      <c r="K33" s="9">
        <f t="shared" si="1"/>
        <v>-6.859794091144366</v>
      </c>
    </row>
    <row r="34" spans="1:11" s="21" customFormat="1" ht="51">
      <c r="A34" s="11" t="s">
        <v>58</v>
      </c>
      <c r="B34" s="19" t="s">
        <v>33</v>
      </c>
      <c r="C34" s="19" t="s">
        <v>1</v>
      </c>
      <c r="D34" s="19" t="s">
        <v>8</v>
      </c>
      <c r="E34" s="17">
        <v>71001</v>
      </c>
      <c r="F34" s="18" t="s">
        <v>144</v>
      </c>
      <c r="G34" s="20" t="s">
        <v>57</v>
      </c>
      <c r="H34" s="9">
        <f>H35</f>
        <v>4648.7</v>
      </c>
      <c r="I34" s="9">
        <f>I35</f>
        <v>4464.2</v>
      </c>
      <c r="J34" s="9">
        <f>J35</f>
        <v>-184.5</v>
      </c>
      <c r="K34" s="9">
        <f t="shared" si="1"/>
        <v>-3.9688515068728947</v>
      </c>
    </row>
    <row r="35" spans="1:11" s="21" customFormat="1" ht="28.5" customHeight="1">
      <c r="A35" s="11" t="s">
        <v>60</v>
      </c>
      <c r="B35" s="19" t="s">
        <v>33</v>
      </c>
      <c r="C35" s="19" t="s">
        <v>1</v>
      </c>
      <c r="D35" s="19" t="s">
        <v>8</v>
      </c>
      <c r="E35" s="17">
        <v>71001</v>
      </c>
      <c r="F35" s="18" t="s">
        <v>144</v>
      </c>
      <c r="G35" s="20" t="s">
        <v>59</v>
      </c>
      <c r="H35" s="9">
        <f>4541.8+106.9</f>
        <v>4648.7</v>
      </c>
      <c r="I35" s="9">
        <v>4464.2</v>
      </c>
      <c r="J35" s="9">
        <f>I35-H35</f>
        <v>-184.5</v>
      </c>
      <c r="K35" s="9">
        <f t="shared" si="1"/>
        <v>-3.9688515068728947</v>
      </c>
    </row>
    <row r="36" spans="1:11" s="21" customFormat="1" ht="28.5" customHeight="1">
      <c r="A36" s="11" t="s">
        <v>62</v>
      </c>
      <c r="B36" s="19" t="s">
        <v>33</v>
      </c>
      <c r="C36" s="19" t="s">
        <v>1</v>
      </c>
      <c r="D36" s="19" t="s">
        <v>8</v>
      </c>
      <c r="E36" s="17">
        <v>71001</v>
      </c>
      <c r="F36" s="18" t="s">
        <v>144</v>
      </c>
      <c r="G36" s="20" t="s">
        <v>61</v>
      </c>
      <c r="H36" s="9">
        <f>H37</f>
        <v>528.9</v>
      </c>
      <c r="I36" s="9">
        <f>I37</f>
        <v>355.6</v>
      </c>
      <c r="J36" s="9">
        <f>J37</f>
        <v>-173.29999999999995</v>
      </c>
      <c r="K36" s="9">
        <f t="shared" si="1"/>
        <v>-32.766118358857995</v>
      </c>
    </row>
    <row r="37" spans="1:11" s="21" customFormat="1" ht="28.5" customHeight="1">
      <c r="A37" s="11" t="s">
        <v>63</v>
      </c>
      <c r="B37" s="19" t="s">
        <v>33</v>
      </c>
      <c r="C37" s="19" t="s">
        <v>1</v>
      </c>
      <c r="D37" s="19" t="s">
        <v>8</v>
      </c>
      <c r="E37" s="17">
        <v>71001</v>
      </c>
      <c r="F37" s="18" t="s">
        <v>144</v>
      </c>
      <c r="G37" s="20" t="s">
        <v>17</v>
      </c>
      <c r="H37" s="9">
        <f>451.8+20+57.1</f>
        <v>528.9</v>
      </c>
      <c r="I37" s="9">
        <v>355.6</v>
      </c>
      <c r="J37" s="9">
        <f>I37-H37</f>
        <v>-173.29999999999995</v>
      </c>
      <c r="K37" s="9">
        <f t="shared" si="1"/>
        <v>-32.766118358857995</v>
      </c>
    </row>
    <row r="38" spans="1:11" s="21" customFormat="1" ht="28.5" customHeight="1">
      <c r="A38" s="11" t="s">
        <v>66</v>
      </c>
      <c r="B38" s="19" t="s">
        <v>33</v>
      </c>
      <c r="C38" s="19" t="s">
        <v>1</v>
      </c>
      <c r="D38" s="19" t="s">
        <v>8</v>
      </c>
      <c r="E38" s="17">
        <v>71001</v>
      </c>
      <c r="F38" s="18" t="s">
        <v>144</v>
      </c>
      <c r="G38" s="20" t="s">
        <v>64</v>
      </c>
      <c r="H38" s="9">
        <f>H39</f>
        <v>38.3</v>
      </c>
      <c r="I38" s="9">
        <f>I39</f>
        <v>38.3</v>
      </c>
      <c r="J38" s="9">
        <f>J39</f>
        <v>0</v>
      </c>
      <c r="K38" s="9">
        <f t="shared" si="1"/>
        <v>0</v>
      </c>
    </row>
    <row r="39" spans="1:11" s="21" customFormat="1" ht="28.5" customHeight="1">
      <c r="A39" s="11" t="s">
        <v>67</v>
      </c>
      <c r="B39" s="19" t="s">
        <v>33</v>
      </c>
      <c r="C39" s="19" t="s">
        <v>1</v>
      </c>
      <c r="D39" s="19" t="s">
        <v>8</v>
      </c>
      <c r="E39" s="17">
        <v>71001</v>
      </c>
      <c r="F39" s="18" t="s">
        <v>144</v>
      </c>
      <c r="G39" s="20" t="s">
        <v>65</v>
      </c>
      <c r="H39" s="9">
        <f>38+0.3+1-1</f>
        <v>38.3</v>
      </c>
      <c r="I39" s="9">
        <f>38+0.3+1-1</f>
        <v>38.3</v>
      </c>
      <c r="J39" s="9">
        <f>I39-H39</f>
        <v>0</v>
      </c>
      <c r="K39" s="9">
        <f t="shared" si="1"/>
        <v>0</v>
      </c>
    </row>
    <row r="40" spans="1:11" s="21" customFormat="1" ht="15">
      <c r="A40" s="11" t="s">
        <v>148</v>
      </c>
      <c r="B40" s="19" t="s">
        <v>33</v>
      </c>
      <c r="C40" s="19" t="s">
        <v>1</v>
      </c>
      <c r="D40" s="19" t="s">
        <v>8</v>
      </c>
      <c r="E40" s="17">
        <v>71003</v>
      </c>
      <c r="F40" s="16" t="s">
        <v>141</v>
      </c>
      <c r="G40" s="20"/>
      <c r="H40" s="9">
        <f>H41</f>
        <v>195.20000000000002</v>
      </c>
      <c r="I40" s="9">
        <f>I41</f>
        <v>194.6</v>
      </c>
      <c r="J40" s="9">
        <f>J41</f>
        <v>-0.6000000000000001</v>
      </c>
      <c r="K40" s="9">
        <f t="shared" si="1"/>
        <v>-0.3073770491803316</v>
      </c>
    </row>
    <row r="41" spans="1:11" s="21" customFormat="1" ht="51">
      <c r="A41" s="26" t="s">
        <v>149</v>
      </c>
      <c r="B41" s="19" t="s">
        <v>33</v>
      </c>
      <c r="C41" s="19" t="s">
        <v>1</v>
      </c>
      <c r="D41" s="19" t="s">
        <v>8</v>
      </c>
      <c r="E41" s="17">
        <v>71003</v>
      </c>
      <c r="F41" s="17">
        <v>76500</v>
      </c>
      <c r="G41" s="20"/>
      <c r="H41" s="9">
        <f>H42+H44+H46</f>
        <v>195.20000000000002</v>
      </c>
      <c r="I41" s="9">
        <f>I42+I44+I46</f>
        <v>194.6</v>
      </c>
      <c r="J41" s="9">
        <f>J42+J44+J46</f>
        <v>-0.6000000000000001</v>
      </c>
      <c r="K41" s="9">
        <f t="shared" si="1"/>
        <v>-0.3073770491803316</v>
      </c>
    </row>
    <row r="42" spans="1:11" s="21" customFormat="1" ht="39.75" customHeight="1">
      <c r="A42" s="11" t="s">
        <v>58</v>
      </c>
      <c r="B42" s="19" t="s">
        <v>33</v>
      </c>
      <c r="C42" s="19" t="s">
        <v>1</v>
      </c>
      <c r="D42" s="19" t="s">
        <v>8</v>
      </c>
      <c r="E42" s="17">
        <v>71003</v>
      </c>
      <c r="F42" s="17">
        <v>76500</v>
      </c>
      <c r="G42" s="20" t="s">
        <v>57</v>
      </c>
      <c r="H42" s="9">
        <f>H43</f>
        <v>190.5</v>
      </c>
      <c r="I42" s="9">
        <f>I43</f>
        <v>190.5</v>
      </c>
      <c r="J42" s="9">
        <f>J43</f>
        <v>0</v>
      </c>
      <c r="K42" s="9">
        <f t="shared" si="1"/>
        <v>0</v>
      </c>
    </row>
    <row r="43" spans="1:11" s="21" customFormat="1" ht="25.5">
      <c r="A43" s="11" t="s">
        <v>60</v>
      </c>
      <c r="B43" s="19" t="s">
        <v>33</v>
      </c>
      <c r="C43" s="19" t="s">
        <v>1</v>
      </c>
      <c r="D43" s="19" t="s">
        <v>8</v>
      </c>
      <c r="E43" s="17">
        <v>71003</v>
      </c>
      <c r="F43" s="17">
        <v>76500</v>
      </c>
      <c r="G43" s="20" t="s">
        <v>59</v>
      </c>
      <c r="H43" s="9">
        <v>190.5</v>
      </c>
      <c r="I43" s="9">
        <v>190.5</v>
      </c>
      <c r="J43" s="9">
        <f>I43-H43</f>
        <v>0</v>
      </c>
      <c r="K43" s="9">
        <f t="shared" si="1"/>
        <v>0</v>
      </c>
    </row>
    <row r="44" spans="1:11" s="21" customFormat="1" ht="29.25" customHeight="1">
      <c r="A44" s="11" t="s">
        <v>62</v>
      </c>
      <c r="B44" s="19" t="s">
        <v>33</v>
      </c>
      <c r="C44" s="19" t="s">
        <v>1</v>
      </c>
      <c r="D44" s="19" t="s">
        <v>8</v>
      </c>
      <c r="E44" s="17">
        <v>71003</v>
      </c>
      <c r="F44" s="17">
        <v>76500</v>
      </c>
      <c r="G44" s="20" t="s">
        <v>61</v>
      </c>
      <c r="H44" s="9">
        <f>H45</f>
        <v>3.9000000000000004</v>
      </c>
      <c r="I44" s="9">
        <f>I45</f>
        <v>3.9000000000000004</v>
      </c>
      <c r="J44" s="9">
        <f>J45</f>
        <v>0</v>
      </c>
      <c r="K44" s="9">
        <f t="shared" si="1"/>
        <v>0</v>
      </c>
    </row>
    <row r="45" spans="1:11" s="21" customFormat="1" ht="26.25" customHeight="1">
      <c r="A45" s="11" t="s">
        <v>63</v>
      </c>
      <c r="B45" s="19" t="s">
        <v>33</v>
      </c>
      <c r="C45" s="19" t="s">
        <v>1</v>
      </c>
      <c r="D45" s="19" t="s">
        <v>8</v>
      </c>
      <c r="E45" s="17">
        <v>71003</v>
      </c>
      <c r="F45" s="17">
        <v>76500</v>
      </c>
      <c r="G45" s="20" t="s">
        <v>17</v>
      </c>
      <c r="H45" s="9">
        <f>13.6-9.7</f>
        <v>3.9000000000000004</v>
      </c>
      <c r="I45" s="9">
        <f>13.6-9.7</f>
        <v>3.9000000000000004</v>
      </c>
      <c r="J45" s="9">
        <f>I45-H45</f>
        <v>0</v>
      </c>
      <c r="K45" s="9">
        <f t="shared" si="1"/>
        <v>0</v>
      </c>
    </row>
    <row r="46" spans="1:11" s="21" customFormat="1" ht="29.25" customHeight="1">
      <c r="A46" s="11" t="s">
        <v>66</v>
      </c>
      <c r="B46" s="20" t="s">
        <v>33</v>
      </c>
      <c r="C46" s="20" t="s">
        <v>1</v>
      </c>
      <c r="D46" s="20" t="s">
        <v>8</v>
      </c>
      <c r="E46" s="17">
        <v>71003</v>
      </c>
      <c r="F46" s="17">
        <v>76500</v>
      </c>
      <c r="G46" s="20" t="s">
        <v>64</v>
      </c>
      <c r="H46" s="9">
        <f>H47</f>
        <v>0.8</v>
      </c>
      <c r="I46" s="9">
        <f>I47</f>
        <v>0.2</v>
      </c>
      <c r="J46" s="9">
        <f>J47</f>
        <v>-0.6000000000000001</v>
      </c>
      <c r="K46" s="9">
        <f t="shared" si="1"/>
        <v>-75</v>
      </c>
    </row>
    <row r="47" spans="1:11" s="21" customFormat="1" ht="50.25" customHeight="1">
      <c r="A47" s="11" t="s">
        <v>67</v>
      </c>
      <c r="B47" s="20" t="s">
        <v>33</v>
      </c>
      <c r="C47" s="20" t="s">
        <v>1</v>
      </c>
      <c r="D47" s="20" t="s">
        <v>8</v>
      </c>
      <c r="E47" s="17">
        <v>71003</v>
      </c>
      <c r="F47" s="17">
        <v>76500</v>
      </c>
      <c r="G47" s="20" t="s">
        <v>65</v>
      </c>
      <c r="H47" s="9">
        <v>0.8</v>
      </c>
      <c r="I47" s="9">
        <v>0.2</v>
      </c>
      <c r="J47" s="9">
        <f>I47-H47</f>
        <v>-0.6000000000000001</v>
      </c>
      <c r="K47" s="9">
        <f t="shared" si="1"/>
        <v>-75</v>
      </c>
    </row>
    <row r="48" spans="1:11" s="21" customFormat="1" ht="15">
      <c r="A48" s="11" t="s">
        <v>99</v>
      </c>
      <c r="B48" s="19" t="s">
        <v>33</v>
      </c>
      <c r="C48" s="19" t="s">
        <v>1</v>
      </c>
      <c r="D48" s="19" t="s">
        <v>8</v>
      </c>
      <c r="E48" s="15">
        <v>72000</v>
      </c>
      <c r="F48" s="16" t="s">
        <v>141</v>
      </c>
      <c r="G48" s="20"/>
      <c r="H48" s="9">
        <f>H49+H55+H61+H72</f>
        <v>987.9</v>
      </c>
      <c r="I48" s="9">
        <f>I49+I55+I61+I72</f>
        <v>964.8</v>
      </c>
      <c r="J48" s="9">
        <f>J49+J55+J61+J72</f>
        <v>-23.099999999999966</v>
      </c>
      <c r="K48" s="9">
        <f t="shared" si="1"/>
        <v>-2.338293349529309</v>
      </c>
    </row>
    <row r="49" spans="1:11" s="21" customFormat="1" ht="29.25" customHeight="1">
      <c r="A49" s="11" t="s">
        <v>150</v>
      </c>
      <c r="B49" s="19" t="s">
        <v>33</v>
      </c>
      <c r="C49" s="19" t="s">
        <v>1</v>
      </c>
      <c r="D49" s="19" t="s">
        <v>8</v>
      </c>
      <c r="E49" s="17">
        <v>72005</v>
      </c>
      <c r="F49" s="16" t="s">
        <v>141</v>
      </c>
      <c r="G49" s="20"/>
      <c r="H49" s="9">
        <f>H50</f>
        <v>194.99999999999997</v>
      </c>
      <c r="I49" s="9">
        <f>I50</f>
        <v>189.7</v>
      </c>
      <c r="J49" s="9">
        <f>J50</f>
        <v>-5.299999999999983</v>
      </c>
      <c r="K49" s="9">
        <f t="shared" si="1"/>
        <v>-2.7179487179487154</v>
      </c>
    </row>
    <row r="50" spans="1:11" s="21" customFormat="1" ht="28.5" customHeight="1">
      <c r="A50" s="11" t="s">
        <v>151</v>
      </c>
      <c r="B50" s="19" t="s">
        <v>33</v>
      </c>
      <c r="C50" s="19" t="s">
        <v>1</v>
      </c>
      <c r="D50" s="19" t="s">
        <v>8</v>
      </c>
      <c r="E50" s="17">
        <v>72005</v>
      </c>
      <c r="F50" s="17">
        <v>76300</v>
      </c>
      <c r="G50" s="20"/>
      <c r="H50" s="9">
        <f>H51+H53</f>
        <v>194.99999999999997</v>
      </c>
      <c r="I50" s="9">
        <f>I51+I53</f>
        <v>189.7</v>
      </c>
      <c r="J50" s="9">
        <f>J51+J53</f>
        <v>-5.299999999999983</v>
      </c>
      <c r="K50" s="9">
        <f t="shared" si="1"/>
        <v>-2.7179487179487154</v>
      </c>
    </row>
    <row r="51" spans="1:11" s="21" customFormat="1" ht="27.75" customHeight="1">
      <c r="A51" s="11" t="s">
        <v>58</v>
      </c>
      <c r="B51" s="19" t="s">
        <v>33</v>
      </c>
      <c r="C51" s="19" t="s">
        <v>1</v>
      </c>
      <c r="D51" s="19" t="s">
        <v>8</v>
      </c>
      <c r="E51" s="17">
        <v>72005</v>
      </c>
      <c r="F51" s="17">
        <v>76300</v>
      </c>
      <c r="G51" s="20" t="s">
        <v>57</v>
      </c>
      <c r="H51" s="9">
        <f>H52</f>
        <v>185.89999999999998</v>
      </c>
      <c r="I51" s="9">
        <f>I52</f>
        <v>180.6</v>
      </c>
      <c r="J51" s="9">
        <f>J52</f>
        <v>-5.299999999999983</v>
      </c>
      <c r="K51" s="9">
        <f t="shared" si="1"/>
        <v>-2.8509951586874536</v>
      </c>
    </row>
    <row r="52" spans="1:11" s="21" customFormat="1" ht="50.25" customHeight="1">
      <c r="A52" s="11" t="s">
        <v>60</v>
      </c>
      <c r="B52" s="19" t="s">
        <v>33</v>
      </c>
      <c r="C52" s="19" t="s">
        <v>1</v>
      </c>
      <c r="D52" s="19" t="s">
        <v>8</v>
      </c>
      <c r="E52" s="17">
        <v>72005</v>
      </c>
      <c r="F52" s="17">
        <v>76300</v>
      </c>
      <c r="G52" s="20" t="s">
        <v>59</v>
      </c>
      <c r="H52" s="9">
        <f>175.2+13-2.3</f>
        <v>185.89999999999998</v>
      </c>
      <c r="I52" s="9">
        <v>180.6</v>
      </c>
      <c r="J52" s="9">
        <f>I52-H52</f>
        <v>-5.299999999999983</v>
      </c>
      <c r="K52" s="9">
        <f t="shared" si="1"/>
        <v>-2.8509951586874536</v>
      </c>
    </row>
    <row r="53" spans="1:11" s="21" customFormat="1" ht="25.5">
      <c r="A53" s="11" t="s">
        <v>62</v>
      </c>
      <c r="B53" s="19" t="s">
        <v>33</v>
      </c>
      <c r="C53" s="19" t="s">
        <v>1</v>
      </c>
      <c r="D53" s="19" t="s">
        <v>8</v>
      </c>
      <c r="E53" s="17">
        <v>72005</v>
      </c>
      <c r="F53" s="17">
        <v>76300</v>
      </c>
      <c r="G53" s="20" t="s">
        <v>61</v>
      </c>
      <c r="H53" s="9">
        <f>H54</f>
        <v>9.099999999999998</v>
      </c>
      <c r="I53" s="9">
        <f>I54</f>
        <v>9.099999999999998</v>
      </c>
      <c r="J53" s="9">
        <f>J54</f>
        <v>0</v>
      </c>
      <c r="K53" s="9">
        <f t="shared" si="1"/>
        <v>0</v>
      </c>
    </row>
    <row r="54" spans="1:11" s="21" customFormat="1" ht="27.75" customHeight="1">
      <c r="A54" s="11" t="s">
        <v>63</v>
      </c>
      <c r="B54" s="19" t="s">
        <v>33</v>
      </c>
      <c r="C54" s="19" t="s">
        <v>1</v>
      </c>
      <c r="D54" s="19" t="s">
        <v>8</v>
      </c>
      <c r="E54" s="17">
        <v>72005</v>
      </c>
      <c r="F54" s="17">
        <v>76300</v>
      </c>
      <c r="G54" s="20" t="s">
        <v>17</v>
      </c>
      <c r="H54" s="9">
        <f>29.4-9.6-13+2.3</f>
        <v>9.099999999999998</v>
      </c>
      <c r="I54" s="9">
        <f>29.4-9.6-13+2.3</f>
        <v>9.099999999999998</v>
      </c>
      <c r="J54" s="9">
        <f>I54-H54</f>
        <v>0</v>
      </c>
      <c r="K54" s="9">
        <f t="shared" si="1"/>
        <v>0</v>
      </c>
    </row>
    <row r="55" spans="1:11" s="21" customFormat="1" ht="27.75" customHeight="1">
      <c r="A55" s="14" t="s">
        <v>152</v>
      </c>
      <c r="B55" s="19" t="s">
        <v>33</v>
      </c>
      <c r="C55" s="19" t="s">
        <v>1</v>
      </c>
      <c r="D55" s="19" t="s">
        <v>8</v>
      </c>
      <c r="E55" s="17">
        <v>72002</v>
      </c>
      <c r="F55" s="16" t="s">
        <v>141</v>
      </c>
      <c r="G55" s="20"/>
      <c r="H55" s="9">
        <f>H56</f>
        <v>197</v>
      </c>
      <c r="I55" s="9">
        <f>I56</f>
        <v>193.1</v>
      </c>
      <c r="J55" s="9">
        <f>J56</f>
        <v>-3.9000000000000004</v>
      </c>
      <c r="K55" s="9">
        <f t="shared" si="1"/>
        <v>-1.9796954314720807</v>
      </c>
    </row>
    <row r="56" spans="1:11" s="21" customFormat="1" ht="26.25" customHeight="1">
      <c r="A56" s="26" t="s">
        <v>153</v>
      </c>
      <c r="B56" s="19" t="s">
        <v>33</v>
      </c>
      <c r="C56" s="19" t="s">
        <v>1</v>
      </c>
      <c r="D56" s="19" t="s">
        <v>8</v>
      </c>
      <c r="E56" s="17">
        <v>72002</v>
      </c>
      <c r="F56" s="17" t="s">
        <v>154</v>
      </c>
      <c r="G56" s="20"/>
      <c r="H56" s="9">
        <f>H57+H59</f>
        <v>197</v>
      </c>
      <c r="I56" s="9">
        <f>I57+I59</f>
        <v>193.1</v>
      </c>
      <c r="J56" s="9">
        <f>J57+J59</f>
        <v>-3.9000000000000004</v>
      </c>
      <c r="K56" s="9">
        <f t="shared" si="1"/>
        <v>-1.9796954314720807</v>
      </c>
    </row>
    <row r="57" spans="1:11" s="21" customFormat="1" ht="51.75" customHeight="1">
      <c r="A57" s="11" t="s">
        <v>58</v>
      </c>
      <c r="B57" s="19" t="s">
        <v>33</v>
      </c>
      <c r="C57" s="19" t="s">
        <v>1</v>
      </c>
      <c r="D57" s="19" t="s">
        <v>8</v>
      </c>
      <c r="E57" s="17">
        <v>72002</v>
      </c>
      <c r="F57" s="17" t="s">
        <v>154</v>
      </c>
      <c r="G57" s="20" t="s">
        <v>57</v>
      </c>
      <c r="H57" s="9">
        <f>H58</f>
        <v>193.1</v>
      </c>
      <c r="I57" s="9">
        <f>I58</f>
        <v>193.1</v>
      </c>
      <c r="J57" s="9">
        <f>J58</f>
        <v>0</v>
      </c>
      <c r="K57" s="9">
        <f t="shared" si="1"/>
        <v>0</v>
      </c>
    </row>
    <row r="58" spans="1:11" s="21" customFormat="1" ht="25.5">
      <c r="A58" s="11" t="s">
        <v>60</v>
      </c>
      <c r="B58" s="19" t="s">
        <v>33</v>
      </c>
      <c r="C58" s="19" t="s">
        <v>1</v>
      </c>
      <c r="D58" s="19" t="s">
        <v>8</v>
      </c>
      <c r="E58" s="17">
        <v>72002</v>
      </c>
      <c r="F58" s="17" t="s">
        <v>154</v>
      </c>
      <c r="G58" s="20" t="s">
        <v>59</v>
      </c>
      <c r="H58" s="9">
        <v>193.1</v>
      </c>
      <c r="I58" s="9">
        <v>193.1</v>
      </c>
      <c r="J58" s="9">
        <f>I58-H58</f>
        <v>0</v>
      </c>
      <c r="K58" s="9">
        <f t="shared" si="1"/>
        <v>0</v>
      </c>
    </row>
    <row r="59" spans="1:11" s="21" customFormat="1" ht="25.5" customHeight="1">
      <c r="A59" s="11" t="s">
        <v>62</v>
      </c>
      <c r="B59" s="19" t="s">
        <v>33</v>
      </c>
      <c r="C59" s="19" t="s">
        <v>1</v>
      </c>
      <c r="D59" s="19" t="s">
        <v>8</v>
      </c>
      <c r="E59" s="17">
        <v>72002</v>
      </c>
      <c r="F59" s="17" t="s">
        <v>154</v>
      </c>
      <c r="G59" s="20" t="s">
        <v>61</v>
      </c>
      <c r="H59" s="9">
        <f>H60</f>
        <v>3.9000000000000004</v>
      </c>
      <c r="I59" s="9">
        <f>I60</f>
        <v>0</v>
      </c>
      <c r="J59" s="9">
        <f>J60</f>
        <v>-3.9000000000000004</v>
      </c>
      <c r="K59" s="9">
        <f t="shared" si="1"/>
        <v>-100</v>
      </c>
    </row>
    <row r="60" spans="1:11" s="21" customFormat="1" ht="24.75" customHeight="1">
      <c r="A60" s="11" t="s">
        <v>63</v>
      </c>
      <c r="B60" s="19" t="s">
        <v>33</v>
      </c>
      <c r="C60" s="19" t="s">
        <v>1</v>
      </c>
      <c r="D60" s="19" t="s">
        <v>8</v>
      </c>
      <c r="E60" s="17">
        <v>72002</v>
      </c>
      <c r="F60" s="17" t="s">
        <v>154</v>
      </c>
      <c r="G60" s="20" t="s">
        <v>17</v>
      </c>
      <c r="H60" s="9">
        <f>13.5-9.6</f>
        <v>3.9000000000000004</v>
      </c>
      <c r="I60" s="9">
        <v>0</v>
      </c>
      <c r="J60" s="9">
        <f>I60-H60</f>
        <v>-3.9000000000000004</v>
      </c>
      <c r="K60" s="9">
        <f t="shared" si="1"/>
        <v>-100</v>
      </c>
    </row>
    <row r="61" spans="1:11" s="21" customFormat="1" ht="27.75" customHeight="1">
      <c r="A61" s="11" t="s">
        <v>155</v>
      </c>
      <c r="B61" s="19" t="s">
        <v>33</v>
      </c>
      <c r="C61" s="19" t="s">
        <v>1</v>
      </c>
      <c r="D61" s="19" t="s">
        <v>8</v>
      </c>
      <c r="E61" s="17">
        <v>72004</v>
      </c>
      <c r="F61" s="16" t="s">
        <v>141</v>
      </c>
      <c r="G61" s="20"/>
      <c r="H61" s="9">
        <f>H62+H67</f>
        <v>392.1</v>
      </c>
      <c r="I61" s="9">
        <f>I62+I67</f>
        <v>388.5</v>
      </c>
      <c r="J61" s="9">
        <f>J62+J67</f>
        <v>-3.599999999999987</v>
      </c>
      <c r="K61" s="9">
        <f t="shared" si="1"/>
        <v>-0.9181331293037545</v>
      </c>
    </row>
    <row r="62" spans="1:11" s="21" customFormat="1" ht="38.25">
      <c r="A62" s="26" t="s">
        <v>156</v>
      </c>
      <c r="B62" s="19" t="s">
        <v>33</v>
      </c>
      <c r="C62" s="19" t="s">
        <v>1</v>
      </c>
      <c r="D62" s="19" t="s">
        <v>8</v>
      </c>
      <c r="E62" s="17">
        <v>72004</v>
      </c>
      <c r="F62" s="17">
        <v>76400</v>
      </c>
      <c r="G62" s="20"/>
      <c r="H62" s="9">
        <f>H63+H65</f>
        <v>207.1</v>
      </c>
      <c r="I62" s="9">
        <f>I63+I65</f>
        <v>205.9</v>
      </c>
      <c r="J62" s="9">
        <f>J63+J65</f>
        <v>-1.1999999999999886</v>
      </c>
      <c r="K62" s="9">
        <f t="shared" si="1"/>
        <v>-0.5794302269435008</v>
      </c>
    </row>
    <row r="63" spans="1:11" s="21" customFormat="1" ht="51">
      <c r="A63" s="11" t="s">
        <v>58</v>
      </c>
      <c r="B63" s="20" t="s">
        <v>33</v>
      </c>
      <c r="C63" s="20" t="s">
        <v>1</v>
      </c>
      <c r="D63" s="20" t="s">
        <v>8</v>
      </c>
      <c r="E63" s="17">
        <v>72004</v>
      </c>
      <c r="F63" s="17">
        <v>76400</v>
      </c>
      <c r="G63" s="20" t="s">
        <v>57</v>
      </c>
      <c r="H63" s="9">
        <f>H64</f>
        <v>196.6</v>
      </c>
      <c r="I63" s="9">
        <f>I64</f>
        <v>195.4</v>
      </c>
      <c r="J63" s="9">
        <f>J64</f>
        <v>-1.1999999999999886</v>
      </c>
      <c r="K63" s="9">
        <f t="shared" si="1"/>
        <v>-0.6103763987792377</v>
      </c>
    </row>
    <row r="64" spans="1:11" s="21" customFormat="1" ht="29.25" customHeight="1">
      <c r="A64" s="11" t="s">
        <v>60</v>
      </c>
      <c r="B64" s="20" t="s">
        <v>33</v>
      </c>
      <c r="C64" s="20" t="s">
        <v>1</v>
      </c>
      <c r="D64" s="20" t="s">
        <v>8</v>
      </c>
      <c r="E64" s="17">
        <v>72004</v>
      </c>
      <c r="F64" s="17">
        <v>76400</v>
      </c>
      <c r="G64" s="20" t="s">
        <v>59</v>
      </c>
      <c r="H64" s="9">
        <f>182.9+13.7</f>
        <v>196.6</v>
      </c>
      <c r="I64" s="9">
        <v>195.4</v>
      </c>
      <c r="J64" s="9">
        <f>I64-H64</f>
        <v>-1.1999999999999886</v>
      </c>
      <c r="K64" s="9">
        <f t="shared" si="1"/>
        <v>-0.6103763987792377</v>
      </c>
    </row>
    <row r="65" spans="1:11" s="21" customFormat="1" ht="24.75" customHeight="1">
      <c r="A65" s="11" t="s">
        <v>62</v>
      </c>
      <c r="B65" s="20" t="s">
        <v>33</v>
      </c>
      <c r="C65" s="20" t="s">
        <v>1</v>
      </c>
      <c r="D65" s="20" t="s">
        <v>8</v>
      </c>
      <c r="E65" s="17">
        <v>72004</v>
      </c>
      <c r="F65" s="17">
        <v>76400</v>
      </c>
      <c r="G65" s="20" t="s">
        <v>61</v>
      </c>
      <c r="H65" s="9">
        <f>H66</f>
        <v>10.499999999999996</v>
      </c>
      <c r="I65" s="9">
        <f>I66</f>
        <v>10.499999999999996</v>
      </c>
      <c r="J65" s="9">
        <f>J66</f>
        <v>0</v>
      </c>
      <c r="K65" s="9">
        <f t="shared" si="1"/>
        <v>0</v>
      </c>
    </row>
    <row r="66" spans="1:11" s="21" customFormat="1" ht="25.5" customHeight="1">
      <c r="A66" s="11" t="s">
        <v>63</v>
      </c>
      <c r="B66" s="20" t="s">
        <v>33</v>
      </c>
      <c r="C66" s="20" t="s">
        <v>1</v>
      </c>
      <c r="D66" s="20" t="s">
        <v>8</v>
      </c>
      <c r="E66" s="17">
        <v>72004</v>
      </c>
      <c r="F66" s="17">
        <v>76400</v>
      </c>
      <c r="G66" s="20" t="s">
        <v>17</v>
      </c>
      <c r="H66" s="9">
        <f>33.8-9.6-13.7</f>
        <v>10.499999999999996</v>
      </c>
      <c r="I66" s="9">
        <f>33.8-9.6-13.7</f>
        <v>10.499999999999996</v>
      </c>
      <c r="J66" s="9">
        <f>I66-H66</f>
        <v>0</v>
      </c>
      <c r="K66" s="9">
        <f t="shared" si="1"/>
        <v>0</v>
      </c>
    </row>
    <row r="67" spans="1:11" s="21" customFormat="1" ht="25.5" customHeight="1">
      <c r="A67" s="26" t="s">
        <v>157</v>
      </c>
      <c r="B67" s="20" t="s">
        <v>33</v>
      </c>
      <c r="C67" s="20" t="s">
        <v>1</v>
      </c>
      <c r="D67" s="20" t="s">
        <v>8</v>
      </c>
      <c r="E67" s="17">
        <v>72004</v>
      </c>
      <c r="F67" s="29" t="s">
        <v>158</v>
      </c>
      <c r="G67" s="20"/>
      <c r="H67" s="9">
        <f>H68+H70</f>
        <v>185</v>
      </c>
      <c r="I67" s="9">
        <f>I68+I70</f>
        <v>182.6</v>
      </c>
      <c r="J67" s="9">
        <f>J68+J70</f>
        <v>-2.3999999999999986</v>
      </c>
      <c r="K67" s="9">
        <f t="shared" si="1"/>
        <v>-1.2972972972972912</v>
      </c>
    </row>
    <row r="68" spans="1:11" s="21" customFormat="1" ht="25.5" customHeight="1">
      <c r="A68" s="11" t="s">
        <v>58</v>
      </c>
      <c r="B68" s="20" t="s">
        <v>33</v>
      </c>
      <c r="C68" s="20" t="s">
        <v>1</v>
      </c>
      <c r="D68" s="20" t="s">
        <v>8</v>
      </c>
      <c r="E68" s="17">
        <v>72004</v>
      </c>
      <c r="F68" s="29" t="s">
        <v>158</v>
      </c>
      <c r="G68" s="20" t="s">
        <v>57</v>
      </c>
      <c r="H68" s="9">
        <f>H69</f>
        <v>155.2</v>
      </c>
      <c r="I68" s="9">
        <f>I69</f>
        <v>153.7</v>
      </c>
      <c r="J68" s="9">
        <f>J69</f>
        <v>-1.5</v>
      </c>
      <c r="K68" s="9">
        <f t="shared" si="1"/>
        <v>-0.9664948453608275</v>
      </c>
    </row>
    <row r="69" spans="1:11" s="21" customFormat="1" ht="25.5" customHeight="1">
      <c r="A69" s="11" t="s">
        <v>60</v>
      </c>
      <c r="B69" s="20" t="s">
        <v>33</v>
      </c>
      <c r="C69" s="20" t="s">
        <v>1</v>
      </c>
      <c r="D69" s="20" t="s">
        <v>8</v>
      </c>
      <c r="E69" s="17">
        <v>72004</v>
      </c>
      <c r="F69" s="29" t="s">
        <v>158</v>
      </c>
      <c r="G69" s="20" t="s">
        <v>59</v>
      </c>
      <c r="H69" s="9">
        <f>175.2-20</f>
        <v>155.2</v>
      </c>
      <c r="I69" s="9">
        <v>153.7</v>
      </c>
      <c r="J69" s="9">
        <f>I69-H69</f>
        <v>-1.5</v>
      </c>
      <c r="K69" s="9">
        <f t="shared" si="1"/>
        <v>-0.9664948453608275</v>
      </c>
    </row>
    <row r="70" spans="1:11" s="21" customFormat="1" ht="54" customHeight="1">
      <c r="A70" s="11" t="s">
        <v>62</v>
      </c>
      <c r="B70" s="20" t="s">
        <v>33</v>
      </c>
      <c r="C70" s="20" t="s">
        <v>1</v>
      </c>
      <c r="D70" s="20" t="s">
        <v>8</v>
      </c>
      <c r="E70" s="17">
        <v>72004</v>
      </c>
      <c r="F70" s="29" t="s">
        <v>158</v>
      </c>
      <c r="G70" s="20" t="s">
        <v>61</v>
      </c>
      <c r="H70" s="9">
        <f>H71</f>
        <v>29.799999999999997</v>
      </c>
      <c r="I70" s="9">
        <f>I71</f>
        <v>28.9</v>
      </c>
      <c r="J70" s="9">
        <f>J71</f>
        <v>-0.8999999999999986</v>
      </c>
      <c r="K70" s="9">
        <f t="shared" si="1"/>
        <v>-3.0201342281879135</v>
      </c>
    </row>
    <row r="71" spans="1:11" s="21" customFormat="1" ht="25.5" customHeight="1">
      <c r="A71" s="11" t="s">
        <v>63</v>
      </c>
      <c r="B71" s="20" t="s">
        <v>33</v>
      </c>
      <c r="C71" s="20" t="s">
        <v>1</v>
      </c>
      <c r="D71" s="20" t="s">
        <v>8</v>
      </c>
      <c r="E71" s="17">
        <v>72004</v>
      </c>
      <c r="F71" s="29" t="s">
        <v>158</v>
      </c>
      <c r="G71" s="20" t="s">
        <v>17</v>
      </c>
      <c r="H71" s="9">
        <f>19.4-9.6+20</f>
        <v>29.799999999999997</v>
      </c>
      <c r="I71" s="9">
        <v>28.9</v>
      </c>
      <c r="J71" s="9">
        <f>I71-H71</f>
        <v>-0.8999999999999986</v>
      </c>
      <c r="K71" s="9">
        <f t="shared" si="1"/>
        <v>-3.0201342281879135</v>
      </c>
    </row>
    <row r="72" spans="1:11" s="21" customFormat="1" ht="25.5" customHeight="1">
      <c r="A72" s="11" t="s">
        <v>159</v>
      </c>
      <c r="B72" s="20" t="s">
        <v>33</v>
      </c>
      <c r="C72" s="20" t="s">
        <v>1</v>
      </c>
      <c r="D72" s="20" t="s">
        <v>8</v>
      </c>
      <c r="E72" s="17">
        <v>72003</v>
      </c>
      <c r="F72" s="16" t="s">
        <v>141</v>
      </c>
      <c r="G72" s="20"/>
      <c r="H72" s="9">
        <f>H73</f>
        <v>203.79999999999998</v>
      </c>
      <c r="I72" s="9">
        <f>I73</f>
        <v>193.5</v>
      </c>
      <c r="J72" s="9">
        <f>J73</f>
        <v>-10.299999999999994</v>
      </c>
      <c r="K72" s="9">
        <f t="shared" si="1"/>
        <v>-5.053974484789009</v>
      </c>
    </row>
    <row r="73" spans="1:11" s="21" customFormat="1" ht="18.75" customHeight="1">
      <c r="A73" s="11" t="s">
        <v>160</v>
      </c>
      <c r="B73" s="20" t="s">
        <v>33</v>
      </c>
      <c r="C73" s="20" t="s">
        <v>1</v>
      </c>
      <c r="D73" s="20" t="s">
        <v>8</v>
      </c>
      <c r="E73" s="17">
        <v>72003</v>
      </c>
      <c r="F73" s="30">
        <v>76600</v>
      </c>
      <c r="G73" s="20"/>
      <c r="H73" s="9">
        <f>H74+H76</f>
        <v>203.79999999999998</v>
      </c>
      <c r="I73" s="9">
        <f>I74+I76</f>
        <v>193.5</v>
      </c>
      <c r="J73" s="9">
        <f>J74+J76</f>
        <v>-10.299999999999994</v>
      </c>
      <c r="K73" s="9">
        <f t="shared" si="1"/>
        <v>-5.053974484789009</v>
      </c>
    </row>
    <row r="74" spans="1:11" s="21" customFormat="1" ht="25.5" customHeight="1">
      <c r="A74" s="11" t="s">
        <v>58</v>
      </c>
      <c r="B74" s="20" t="s">
        <v>33</v>
      </c>
      <c r="C74" s="20" t="s">
        <v>1</v>
      </c>
      <c r="D74" s="20" t="s">
        <v>8</v>
      </c>
      <c r="E74" s="17">
        <v>72003</v>
      </c>
      <c r="F74" s="30">
        <v>76600</v>
      </c>
      <c r="G74" s="20" t="s">
        <v>57</v>
      </c>
      <c r="H74" s="9">
        <f>H75</f>
        <v>183.6</v>
      </c>
      <c r="I74" s="9">
        <f>I75</f>
        <v>183.5</v>
      </c>
      <c r="J74" s="9">
        <f>J75</f>
        <v>-0.09999999999999432</v>
      </c>
      <c r="K74" s="9">
        <f aca="true" t="shared" si="4" ref="K74:K137">I74/H74*100-100</f>
        <v>-0.05446623093681069</v>
      </c>
    </row>
    <row r="75" spans="1:11" s="21" customFormat="1" ht="25.5">
      <c r="A75" s="11" t="s">
        <v>60</v>
      </c>
      <c r="B75" s="20" t="s">
        <v>33</v>
      </c>
      <c r="C75" s="20" t="s">
        <v>1</v>
      </c>
      <c r="D75" s="20" t="s">
        <v>8</v>
      </c>
      <c r="E75" s="17">
        <v>72003</v>
      </c>
      <c r="F75" s="30">
        <v>76600</v>
      </c>
      <c r="G75" s="20" t="s">
        <v>59</v>
      </c>
      <c r="H75" s="9">
        <v>183.6</v>
      </c>
      <c r="I75" s="9">
        <v>183.5</v>
      </c>
      <c r="J75" s="9">
        <f>I75-H75</f>
        <v>-0.09999999999999432</v>
      </c>
      <c r="K75" s="9">
        <f t="shared" si="4"/>
        <v>-0.05446623093681069</v>
      </c>
    </row>
    <row r="76" spans="1:11" s="21" customFormat="1" ht="25.5">
      <c r="A76" s="11" t="s">
        <v>62</v>
      </c>
      <c r="B76" s="20" t="s">
        <v>33</v>
      </c>
      <c r="C76" s="20" t="s">
        <v>1</v>
      </c>
      <c r="D76" s="20" t="s">
        <v>8</v>
      </c>
      <c r="E76" s="17">
        <v>72003</v>
      </c>
      <c r="F76" s="30">
        <v>76600</v>
      </c>
      <c r="G76" s="20" t="s">
        <v>61</v>
      </c>
      <c r="H76" s="9">
        <f>H77</f>
        <v>20.2</v>
      </c>
      <c r="I76" s="9">
        <f>I77</f>
        <v>10</v>
      </c>
      <c r="J76" s="9">
        <f>J77</f>
        <v>-10.2</v>
      </c>
      <c r="K76" s="9">
        <f t="shared" si="4"/>
        <v>-50.495049504950494</v>
      </c>
    </row>
    <row r="77" spans="1:11" s="21" customFormat="1" ht="25.5" customHeight="1">
      <c r="A77" s="11" t="s">
        <v>63</v>
      </c>
      <c r="B77" s="20" t="s">
        <v>33</v>
      </c>
      <c r="C77" s="20" t="s">
        <v>1</v>
      </c>
      <c r="D77" s="20" t="s">
        <v>8</v>
      </c>
      <c r="E77" s="17">
        <v>72003</v>
      </c>
      <c r="F77" s="30">
        <v>76600</v>
      </c>
      <c r="G77" s="20" t="s">
        <v>17</v>
      </c>
      <c r="H77" s="9">
        <f>29.9-9.7</f>
        <v>20.2</v>
      </c>
      <c r="I77" s="9">
        <v>10</v>
      </c>
      <c r="J77" s="9">
        <f>I77-H77</f>
        <v>-10.2</v>
      </c>
      <c r="K77" s="9">
        <f t="shared" si="4"/>
        <v>-50.495049504950494</v>
      </c>
    </row>
    <row r="78" spans="1:11" s="21" customFormat="1" ht="25.5" customHeight="1">
      <c r="A78" s="11" t="s">
        <v>132</v>
      </c>
      <c r="B78" s="20" t="s">
        <v>33</v>
      </c>
      <c r="C78" s="20" t="s">
        <v>1</v>
      </c>
      <c r="D78" s="20" t="s">
        <v>4</v>
      </c>
      <c r="E78" s="17"/>
      <c r="F78" s="30"/>
      <c r="G78" s="20"/>
      <c r="H78" s="9">
        <f aca="true" t="shared" si="5" ref="H78:J82">H79</f>
        <v>1.9</v>
      </c>
      <c r="I78" s="9">
        <f t="shared" si="5"/>
        <v>0</v>
      </c>
      <c r="J78" s="9">
        <f t="shared" si="5"/>
        <v>-1.9</v>
      </c>
      <c r="K78" s="9">
        <f t="shared" si="4"/>
        <v>-100</v>
      </c>
    </row>
    <row r="79" spans="1:11" s="21" customFormat="1" ht="17.25" customHeight="1">
      <c r="A79" s="11" t="s">
        <v>127</v>
      </c>
      <c r="B79" s="20" t="s">
        <v>33</v>
      </c>
      <c r="C79" s="20" t="s">
        <v>1</v>
      </c>
      <c r="D79" s="20" t="s">
        <v>4</v>
      </c>
      <c r="E79" s="17">
        <v>99000</v>
      </c>
      <c r="F79" s="28" t="s">
        <v>141</v>
      </c>
      <c r="G79" s="20"/>
      <c r="H79" s="9">
        <f t="shared" si="5"/>
        <v>1.9</v>
      </c>
      <c r="I79" s="9">
        <f t="shared" si="5"/>
        <v>0</v>
      </c>
      <c r="J79" s="9">
        <f t="shared" si="5"/>
        <v>-1.9</v>
      </c>
      <c r="K79" s="9">
        <f t="shared" si="4"/>
        <v>-100</v>
      </c>
    </row>
    <row r="80" spans="1:11" s="21" customFormat="1" ht="25.5" customHeight="1">
      <c r="A80" s="11" t="s">
        <v>130</v>
      </c>
      <c r="B80" s="20" t="s">
        <v>33</v>
      </c>
      <c r="C80" s="20" t="s">
        <v>1</v>
      </c>
      <c r="D80" s="20" t="s">
        <v>4</v>
      </c>
      <c r="E80" s="17">
        <v>99300</v>
      </c>
      <c r="F80" s="16" t="s">
        <v>141</v>
      </c>
      <c r="G80" s="20"/>
      <c r="H80" s="9">
        <f t="shared" si="5"/>
        <v>1.9</v>
      </c>
      <c r="I80" s="9">
        <f t="shared" si="5"/>
        <v>0</v>
      </c>
      <c r="J80" s="9">
        <f t="shared" si="5"/>
        <v>-1.9</v>
      </c>
      <c r="K80" s="9">
        <f t="shared" si="4"/>
        <v>-100</v>
      </c>
    </row>
    <row r="81" spans="1:11" s="21" customFormat="1" ht="38.25">
      <c r="A81" s="11" t="s">
        <v>161</v>
      </c>
      <c r="B81" s="20" t="s">
        <v>33</v>
      </c>
      <c r="C81" s="20" t="s">
        <v>1</v>
      </c>
      <c r="D81" s="20" t="s">
        <v>4</v>
      </c>
      <c r="E81" s="17">
        <v>99300</v>
      </c>
      <c r="F81" s="30">
        <v>51200</v>
      </c>
      <c r="G81" s="20"/>
      <c r="H81" s="9">
        <f t="shared" si="5"/>
        <v>1.9</v>
      </c>
      <c r="I81" s="9">
        <f t="shared" si="5"/>
        <v>0</v>
      </c>
      <c r="J81" s="9">
        <f t="shared" si="5"/>
        <v>-1.9</v>
      </c>
      <c r="K81" s="9">
        <f t="shared" si="4"/>
        <v>-100</v>
      </c>
    </row>
    <row r="82" spans="1:11" s="21" customFormat="1" ht="25.5">
      <c r="A82" s="11" t="s">
        <v>62</v>
      </c>
      <c r="B82" s="20" t="s">
        <v>33</v>
      </c>
      <c r="C82" s="20" t="s">
        <v>1</v>
      </c>
      <c r="D82" s="20" t="s">
        <v>4</v>
      </c>
      <c r="E82" s="17">
        <v>99300</v>
      </c>
      <c r="F82" s="30">
        <v>51200</v>
      </c>
      <c r="G82" s="20" t="s">
        <v>61</v>
      </c>
      <c r="H82" s="9">
        <f t="shared" si="5"/>
        <v>1.9</v>
      </c>
      <c r="I82" s="9">
        <f t="shared" si="5"/>
        <v>0</v>
      </c>
      <c r="J82" s="9">
        <f t="shared" si="5"/>
        <v>-1.9</v>
      </c>
      <c r="K82" s="9">
        <f t="shared" si="4"/>
        <v>-100</v>
      </c>
    </row>
    <row r="83" spans="1:11" s="21" customFormat="1" ht="51" customHeight="1">
      <c r="A83" s="11" t="s">
        <v>63</v>
      </c>
      <c r="B83" s="20" t="s">
        <v>33</v>
      </c>
      <c r="C83" s="20" t="s">
        <v>1</v>
      </c>
      <c r="D83" s="20" t="s">
        <v>4</v>
      </c>
      <c r="E83" s="17">
        <v>99300</v>
      </c>
      <c r="F83" s="30">
        <v>51200</v>
      </c>
      <c r="G83" s="20" t="s">
        <v>17</v>
      </c>
      <c r="H83" s="9">
        <v>1.9</v>
      </c>
      <c r="I83" s="9">
        <v>0</v>
      </c>
      <c r="J83" s="9">
        <f>I83-H83</f>
        <v>-1.9</v>
      </c>
      <c r="K83" s="9">
        <f t="shared" si="4"/>
        <v>-100</v>
      </c>
    </row>
    <row r="84" spans="1:11" s="21" customFormat="1" ht="12.75">
      <c r="A84" s="11" t="s">
        <v>44</v>
      </c>
      <c r="B84" s="20" t="s">
        <v>33</v>
      </c>
      <c r="C84" s="20" t="s">
        <v>1</v>
      </c>
      <c r="D84" s="20" t="s">
        <v>7</v>
      </c>
      <c r="E84" s="20"/>
      <c r="F84" s="20"/>
      <c r="G84" s="20"/>
      <c r="H84" s="9">
        <f aca="true" t="shared" si="6" ref="H84:J88">H85</f>
        <v>122.6</v>
      </c>
      <c r="I84" s="9">
        <f t="shared" si="6"/>
        <v>121.8</v>
      </c>
      <c r="J84" s="9">
        <f t="shared" si="6"/>
        <v>-0.7999999999999972</v>
      </c>
      <c r="K84" s="9">
        <f t="shared" si="4"/>
        <v>-0.652528548123982</v>
      </c>
    </row>
    <row r="85" spans="1:11" s="21" customFormat="1" ht="25.5" customHeight="1">
      <c r="A85" s="14" t="s">
        <v>98</v>
      </c>
      <c r="B85" s="20" t="s">
        <v>33</v>
      </c>
      <c r="C85" s="20" t="s">
        <v>1</v>
      </c>
      <c r="D85" s="20" t="s">
        <v>7</v>
      </c>
      <c r="E85" s="15">
        <v>71000</v>
      </c>
      <c r="F85" s="16" t="s">
        <v>141</v>
      </c>
      <c r="G85" s="20"/>
      <c r="H85" s="9">
        <f t="shared" si="6"/>
        <v>122.6</v>
      </c>
      <c r="I85" s="9">
        <f t="shared" si="6"/>
        <v>121.8</v>
      </c>
      <c r="J85" s="9">
        <f t="shared" si="6"/>
        <v>-0.7999999999999972</v>
      </c>
      <c r="K85" s="9">
        <f t="shared" si="4"/>
        <v>-0.652528548123982</v>
      </c>
    </row>
    <row r="86" spans="1:11" s="21" customFormat="1" ht="25.5" customHeight="1">
      <c r="A86" s="11" t="s">
        <v>162</v>
      </c>
      <c r="B86" s="20" t="s">
        <v>33</v>
      </c>
      <c r="C86" s="20" t="s">
        <v>1</v>
      </c>
      <c r="D86" s="20" t="s">
        <v>7</v>
      </c>
      <c r="E86" s="17">
        <v>71004</v>
      </c>
      <c r="F86" s="16" t="s">
        <v>141</v>
      </c>
      <c r="G86" s="20"/>
      <c r="H86" s="9">
        <f t="shared" si="6"/>
        <v>122.6</v>
      </c>
      <c r="I86" s="9">
        <f t="shared" si="6"/>
        <v>121.8</v>
      </c>
      <c r="J86" s="9">
        <f t="shared" si="6"/>
        <v>-0.7999999999999972</v>
      </c>
      <c r="K86" s="9">
        <f t="shared" si="4"/>
        <v>-0.652528548123982</v>
      </c>
    </row>
    <row r="87" spans="1:11" s="21" customFormat="1" ht="18.75" customHeight="1">
      <c r="A87" s="11" t="s">
        <v>162</v>
      </c>
      <c r="B87" s="20" t="s">
        <v>33</v>
      </c>
      <c r="C87" s="20" t="s">
        <v>1</v>
      </c>
      <c r="D87" s="20" t="s">
        <v>7</v>
      </c>
      <c r="E87" s="17">
        <v>71004</v>
      </c>
      <c r="F87" s="18" t="s">
        <v>163</v>
      </c>
      <c r="G87" s="20"/>
      <c r="H87" s="9">
        <f t="shared" si="6"/>
        <v>122.6</v>
      </c>
      <c r="I87" s="9">
        <f t="shared" si="6"/>
        <v>121.8</v>
      </c>
      <c r="J87" s="9">
        <f t="shared" si="6"/>
        <v>-0.7999999999999972</v>
      </c>
      <c r="K87" s="9">
        <f t="shared" si="4"/>
        <v>-0.652528548123982</v>
      </c>
    </row>
    <row r="88" spans="1:11" s="21" customFormat="1" ht="25.5">
      <c r="A88" s="11" t="s">
        <v>62</v>
      </c>
      <c r="B88" s="20" t="s">
        <v>33</v>
      </c>
      <c r="C88" s="20" t="s">
        <v>1</v>
      </c>
      <c r="D88" s="20" t="s">
        <v>7</v>
      </c>
      <c r="E88" s="17">
        <v>71004</v>
      </c>
      <c r="F88" s="18" t="s">
        <v>163</v>
      </c>
      <c r="G88" s="20" t="s">
        <v>61</v>
      </c>
      <c r="H88" s="9">
        <f t="shared" si="6"/>
        <v>122.6</v>
      </c>
      <c r="I88" s="9">
        <f t="shared" si="6"/>
        <v>121.8</v>
      </c>
      <c r="J88" s="9">
        <f t="shared" si="6"/>
        <v>-0.7999999999999972</v>
      </c>
      <c r="K88" s="9">
        <f t="shared" si="4"/>
        <v>-0.652528548123982</v>
      </c>
    </row>
    <row r="89" spans="1:11" s="21" customFormat="1" ht="25.5" customHeight="1">
      <c r="A89" s="11" t="s">
        <v>63</v>
      </c>
      <c r="B89" s="20" t="s">
        <v>33</v>
      </c>
      <c r="C89" s="20" t="s">
        <v>1</v>
      </c>
      <c r="D89" s="20" t="s">
        <v>7</v>
      </c>
      <c r="E89" s="17">
        <v>71004</v>
      </c>
      <c r="F89" s="18" t="s">
        <v>163</v>
      </c>
      <c r="G89" s="20" t="s">
        <v>17</v>
      </c>
      <c r="H89" s="9">
        <f>127.6-5</f>
        <v>122.6</v>
      </c>
      <c r="I89" s="9">
        <v>121.8</v>
      </c>
      <c r="J89" s="9">
        <f>I89-H89</f>
        <v>-0.7999999999999972</v>
      </c>
      <c r="K89" s="9">
        <f t="shared" si="4"/>
        <v>-0.652528548123982</v>
      </c>
    </row>
    <row r="90" spans="1:11" s="21" customFormat="1" ht="12.75">
      <c r="A90" s="11" t="s">
        <v>25</v>
      </c>
      <c r="B90" s="20" t="s">
        <v>33</v>
      </c>
      <c r="C90" s="20" t="s">
        <v>1</v>
      </c>
      <c r="D90" s="20" t="s">
        <v>46</v>
      </c>
      <c r="E90" s="20"/>
      <c r="F90" s="20"/>
      <c r="G90" s="20"/>
      <c r="H90" s="9">
        <f>H91+H106+H126+H101+H121</f>
        <v>11974.5</v>
      </c>
      <c r="I90" s="9">
        <f>I91+I106+I126+I101+I121</f>
        <v>11699.199999999999</v>
      </c>
      <c r="J90" s="9">
        <f>J91+J106+J126+J101+J121</f>
        <v>-275.2999999999998</v>
      </c>
      <c r="K90" s="9">
        <f t="shared" si="4"/>
        <v>-2.2990521524907166</v>
      </c>
    </row>
    <row r="91" spans="1:11" s="21" customFormat="1" ht="40.5" customHeight="1">
      <c r="A91" s="14" t="s">
        <v>98</v>
      </c>
      <c r="B91" s="20" t="s">
        <v>33</v>
      </c>
      <c r="C91" s="20" t="s">
        <v>1</v>
      </c>
      <c r="D91" s="20" t="s">
        <v>46</v>
      </c>
      <c r="E91" s="17">
        <v>71000</v>
      </c>
      <c r="F91" s="16" t="s">
        <v>141</v>
      </c>
      <c r="G91" s="20"/>
      <c r="H91" s="9">
        <f aca="true" t="shared" si="7" ref="H91:J92">H92</f>
        <v>10750.8</v>
      </c>
      <c r="I91" s="9">
        <f t="shared" si="7"/>
        <v>10612.8</v>
      </c>
      <c r="J91" s="9">
        <f t="shared" si="7"/>
        <v>-137.99999999999977</v>
      </c>
      <c r="K91" s="9">
        <f t="shared" si="4"/>
        <v>-1.2836254046210485</v>
      </c>
    </row>
    <row r="92" spans="1:11" s="21" customFormat="1" ht="25.5" customHeight="1">
      <c r="A92" s="14" t="s">
        <v>142</v>
      </c>
      <c r="B92" s="20" t="s">
        <v>33</v>
      </c>
      <c r="C92" s="20" t="s">
        <v>1</v>
      </c>
      <c r="D92" s="20" t="s">
        <v>46</v>
      </c>
      <c r="E92" s="17">
        <v>71001</v>
      </c>
      <c r="F92" s="16" t="s">
        <v>141</v>
      </c>
      <c r="G92" s="20"/>
      <c r="H92" s="9">
        <f t="shared" si="7"/>
        <v>10750.8</v>
      </c>
      <c r="I92" s="9">
        <f t="shared" si="7"/>
        <v>10612.8</v>
      </c>
      <c r="J92" s="9">
        <f t="shared" si="7"/>
        <v>-137.99999999999977</v>
      </c>
      <c r="K92" s="9">
        <f t="shared" si="4"/>
        <v>-1.2836254046210485</v>
      </c>
    </row>
    <row r="93" spans="1:11" s="21" customFormat="1" ht="25.5" customHeight="1">
      <c r="A93" s="14" t="s">
        <v>143</v>
      </c>
      <c r="B93" s="20" t="s">
        <v>33</v>
      </c>
      <c r="C93" s="20" t="s">
        <v>1</v>
      </c>
      <c r="D93" s="20" t="s">
        <v>46</v>
      </c>
      <c r="E93" s="17">
        <v>71001</v>
      </c>
      <c r="F93" s="18" t="s">
        <v>144</v>
      </c>
      <c r="G93" s="20"/>
      <c r="H93" s="9">
        <f>H94+H97+H99</f>
        <v>10750.8</v>
      </c>
      <c r="I93" s="9">
        <f>I94+I97+I99</f>
        <v>10612.8</v>
      </c>
      <c r="J93" s="9">
        <f>J94+J97+J99</f>
        <v>-137.99999999999977</v>
      </c>
      <c r="K93" s="9">
        <f t="shared" si="4"/>
        <v>-1.2836254046210485</v>
      </c>
    </row>
    <row r="94" spans="1:11" s="21" customFormat="1" ht="25.5" customHeight="1">
      <c r="A94" s="11" t="s">
        <v>58</v>
      </c>
      <c r="B94" s="20" t="s">
        <v>33</v>
      </c>
      <c r="C94" s="20" t="s">
        <v>1</v>
      </c>
      <c r="D94" s="20" t="s">
        <v>46</v>
      </c>
      <c r="E94" s="17">
        <v>71001</v>
      </c>
      <c r="F94" s="18" t="s">
        <v>144</v>
      </c>
      <c r="G94" s="20" t="s">
        <v>57</v>
      </c>
      <c r="H94" s="9">
        <f>H95+H96</f>
        <v>5092.8</v>
      </c>
      <c r="I94" s="9">
        <f>I95+I96</f>
        <v>5084.3</v>
      </c>
      <c r="J94" s="9">
        <f>J95+J96</f>
        <v>-8.499999999999773</v>
      </c>
      <c r="K94" s="9">
        <f t="shared" si="4"/>
        <v>-0.1669022934338642</v>
      </c>
    </row>
    <row r="95" spans="1:11" s="21" customFormat="1" ht="25.5" customHeight="1">
      <c r="A95" s="31" t="s">
        <v>77</v>
      </c>
      <c r="B95" s="20" t="s">
        <v>33</v>
      </c>
      <c r="C95" s="20" t="s">
        <v>1</v>
      </c>
      <c r="D95" s="20" t="s">
        <v>46</v>
      </c>
      <c r="E95" s="17">
        <v>71001</v>
      </c>
      <c r="F95" s="18" t="s">
        <v>144</v>
      </c>
      <c r="G95" s="20" t="s">
        <v>76</v>
      </c>
      <c r="H95" s="9">
        <f>3036.5+865-108.2+45.2</f>
        <v>3838.5</v>
      </c>
      <c r="I95" s="9">
        <v>3838.3</v>
      </c>
      <c r="J95" s="9">
        <f>I95-H95</f>
        <v>-0.1999999999998181</v>
      </c>
      <c r="K95" s="9">
        <f t="shared" si="4"/>
        <v>-0.005210368633584039</v>
      </c>
    </row>
    <row r="96" spans="1:11" s="21" customFormat="1" ht="25.5">
      <c r="A96" s="11" t="s">
        <v>60</v>
      </c>
      <c r="B96" s="20" t="s">
        <v>33</v>
      </c>
      <c r="C96" s="20" t="s">
        <v>1</v>
      </c>
      <c r="D96" s="20" t="s">
        <v>46</v>
      </c>
      <c r="E96" s="17">
        <v>71001</v>
      </c>
      <c r="F96" s="18" t="s">
        <v>144</v>
      </c>
      <c r="G96" s="20" t="s">
        <v>59</v>
      </c>
      <c r="H96" s="9">
        <v>1254.3</v>
      </c>
      <c r="I96" s="9">
        <v>1246</v>
      </c>
      <c r="J96" s="9">
        <f>I96-H96</f>
        <v>-8.299999999999955</v>
      </c>
      <c r="K96" s="9">
        <f t="shared" si="4"/>
        <v>-0.6617236705732239</v>
      </c>
    </row>
    <row r="97" spans="1:11" s="21" customFormat="1" ht="25.5" customHeight="1">
      <c r="A97" s="11" t="s">
        <v>62</v>
      </c>
      <c r="B97" s="20" t="s">
        <v>33</v>
      </c>
      <c r="C97" s="20" t="s">
        <v>1</v>
      </c>
      <c r="D97" s="20" t="s">
        <v>46</v>
      </c>
      <c r="E97" s="17">
        <v>71001</v>
      </c>
      <c r="F97" s="18" t="s">
        <v>144</v>
      </c>
      <c r="G97" s="20" t="s">
        <v>61</v>
      </c>
      <c r="H97" s="9">
        <f>H98</f>
        <v>5489.5</v>
      </c>
      <c r="I97" s="9">
        <f>I98</f>
        <v>5360</v>
      </c>
      <c r="J97" s="9">
        <f>J98</f>
        <v>-129.5</v>
      </c>
      <c r="K97" s="9">
        <f t="shared" si="4"/>
        <v>-2.35904909372438</v>
      </c>
    </row>
    <row r="98" spans="1:11" s="21" customFormat="1" ht="25.5" customHeight="1">
      <c r="A98" s="11" t="s">
        <v>63</v>
      </c>
      <c r="B98" s="20" t="s">
        <v>33</v>
      </c>
      <c r="C98" s="20" t="s">
        <v>1</v>
      </c>
      <c r="D98" s="20" t="s">
        <v>46</v>
      </c>
      <c r="E98" s="17">
        <v>71001</v>
      </c>
      <c r="F98" s="18" t="s">
        <v>144</v>
      </c>
      <c r="G98" s="20" t="s">
        <v>17</v>
      </c>
      <c r="H98" s="9">
        <f>5277.4+14.1+209-11</f>
        <v>5489.5</v>
      </c>
      <c r="I98" s="9">
        <v>5360</v>
      </c>
      <c r="J98" s="9">
        <f>I98-H98</f>
        <v>-129.5</v>
      </c>
      <c r="K98" s="9">
        <f t="shared" si="4"/>
        <v>-2.35904909372438</v>
      </c>
    </row>
    <row r="99" spans="1:11" s="21" customFormat="1" ht="12.75">
      <c r="A99" s="11" t="s">
        <v>66</v>
      </c>
      <c r="B99" s="20" t="s">
        <v>33</v>
      </c>
      <c r="C99" s="20" t="s">
        <v>1</v>
      </c>
      <c r="D99" s="20" t="s">
        <v>46</v>
      </c>
      <c r="E99" s="17">
        <v>71001</v>
      </c>
      <c r="F99" s="18" t="s">
        <v>144</v>
      </c>
      <c r="G99" s="20" t="s">
        <v>64</v>
      </c>
      <c r="H99" s="9">
        <f>H100</f>
        <v>168.5</v>
      </c>
      <c r="I99" s="9">
        <f>I100</f>
        <v>168.5</v>
      </c>
      <c r="J99" s="9">
        <f>J100</f>
        <v>0</v>
      </c>
      <c r="K99" s="9">
        <f t="shared" si="4"/>
        <v>0</v>
      </c>
    </row>
    <row r="100" spans="1:11" s="21" customFormat="1" ht="25.5" customHeight="1">
      <c r="A100" s="11" t="s">
        <v>67</v>
      </c>
      <c r="B100" s="20" t="s">
        <v>33</v>
      </c>
      <c r="C100" s="20" t="s">
        <v>1</v>
      </c>
      <c r="D100" s="20" t="s">
        <v>46</v>
      </c>
      <c r="E100" s="17">
        <v>71001</v>
      </c>
      <c r="F100" s="18" t="s">
        <v>144</v>
      </c>
      <c r="G100" s="20" t="s">
        <v>65</v>
      </c>
      <c r="H100" s="9">
        <f>31.4+156+1+1-16-4-0.6-0.3</f>
        <v>168.5</v>
      </c>
      <c r="I100" s="9">
        <v>168.5</v>
      </c>
      <c r="J100" s="9">
        <f>I100-H100</f>
        <v>0</v>
      </c>
      <c r="K100" s="9">
        <f t="shared" si="4"/>
        <v>0</v>
      </c>
    </row>
    <row r="101" spans="1:11" s="21" customFormat="1" ht="25.5" customHeight="1">
      <c r="A101" s="11" t="s">
        <v>99</v>
      </c>
      <c r="B101" s="19" t="s">
        <v>33</v>
      </c>
      <c r="C101" s="20" t="s">
        <v>1</v>
      </c>
      <c r="D101" s="20" t="s">
        <v>46</v>
      </c>
      <c r="E101" s="15">
        <v>72000</v>
      </c>
      <c r="F101" s="16" t="s">
        <v>141</v>
      </c>
      <c r="G101" s="20"/>
      <c r="H101" s="9">
        <f aca="true" t="shared" si="8" ref="H101:J104">H102</f>
        <v>1</v>
      </c>
      <c r="I101" s="9">
        <f t="shared" si="8"/>
        <v>1</v>
      </c>
      <c r="J101" s="9">
        <f t="shared" si="8"/>
        <v>0</v>
      </c>
      <c r="K101" s="9">
        <f t="shared" si="4"/>
        <v>0</v>
      </c>
    </row>
    <row r="102" spans="1:11" s="21" customFormat="1" ht="51.75" customHeight="1">
      <c r="A102" s="11" t="s">
        <v>240</v>
      </c>
      <c r="B102" s="20" t="s">
        <v>33</v>
      </c>
      <c r="C102" s="20" t="s">
        <v>1</v>
      </c>
      <c r="D102" s="20" t="s">
        <v>46</v>
      </c>
      <c r="E102" s="17">
        <v>72001</v>
      </c>
      <c r="F102" s="16" t="s">
        <v>141</v>
      </c>
      <c r="G102" s="20"/>
      <c r="H102" s="9">
        <f t="shared" si="8"/>
        <v>1</v>
      </c>
      <c r="I102" s="9">
        <f t="shared" si="8"/>
        <v>1</v>
      </c>
      <c r="J102" s="9">
        <f t="shared" si="8"/>
        <v>0</v>
      </c>
      <c r="K102" s="9">
        <f t="shared" si="4"/>
        <v>0</v>
      </c>
    </row>
    <row r="103" spans="1:11" s="21" customFormat="1" ht="25.5" customHeight="1">
      <c r="A103" s="11" t="s">
        <v>241</v>
      </c>
      <c r="B103" s="20" t="s">
        <v>33</v>
      </c>
      <c r="C103" s="20" t="s">
        <v>1</v>
      </c>
      <c r="D103" s="20" t="s">
        <v>46</v>
      </c>
      <c r="E103" s="17">
        <v>72001</v>
      </c>
      <c r="F103" s="17">
        <v>99990</v>
      </c>
      <c r="G103" s="20"/>
      <c r="H103" s="9">
        <f t="shared" si="8"/>
        <v>1</v>
      </c>
      <c r="I103" s="9">
        <f t="shared" si="8"/>
        <v>1</v>
      </c>
      <c r="J103" s="9">
        <f t="shared" si="8"/>
        <v>0</v>
      </c>
      <c r="K103" s="9">
        <f t="shared" si="4"/>
        <v>0</v>
      </c>
    </row>
    <row r="104" spans="1:11" s="21" customFormat="1" ht="25.5" customHeight="1">
      <c r="A104" s="11" t="s">
        <v>62</v>
      </c>
      <c r="B104" s="20" t="s">
        <v>33</v>
      </c>
      <c r="C104" s="20" t="s">
        <v>1</v>
      </c>
      <c r="D104" s="20" t="s">
        <v>46</v>
      </c>
      <c r="E104" s="17">
        <v>72001</v>
      </c>
      <c r="F104" s="17">
        <v>99990</v>
      </c>
      <c r="G104" s="20" t="s">
        <v>61</v>
      </c>
      <c r="H104" s="9">
        <f t="shared" si="8"/>
        <v>1</v>
      </c>
      <c r="I104" s="9">
        <f t="shared" si="8"/>
        <v>1</v>
      </c>
      <c r="J104" s="9">
        <f t="shared" si="8"/>
        <v>0</v>
      </c>
      <c r="K104" s="9">
        <f t="shared" si="4"/>
        <v>0</v>
      </c>
    </row>
    <row r="105" spans="1:11" s="21" customFormat="1" ht="25.5">
      <c r="A105" s="11" t="s">
        <v>63</v>
      </c>
      <c r="B105" s="20" t="s">
        <v>33</v>
      </c>
      <c r="C105" s="20" t="s">
        <v>1</v>
      </c>
      <c r="D105" s="20" t="s">
        <v>46</v>
      </c>
      <c r="E105" s="17">
        <v>72001</v>
      </c>
      <c r="F105" s="17">
        <v>99990</v>
      </c>
      <c r="G105" s="20" t="s">
        <v>17</v>
      </c>
      <c r="H105" s="9">
        <v>1</v>
      </c>
      <c r="I105" s="9">
        <v>1</v>
      </c>
      <c r="J105" s="9">
        <f>I105-H105</f>
        <v>0</v>
      </c>
      <c r="K105" s="9">
        <f t="shared" si="4"/>
        <v>0</v>
      </c>
    </row>
    <row r="106" spans="1:11" s="21" customFormat="1" ht="25.5">
      <c r="A106" s="11" t="s">
        <v>101</v>
      </c>
      <c r="B106" s="20" t="s">
        <v>33</v>
      </c>
      <c r="C106" s="20" t="s">
        <v>1</v>
      </c>
      <c r="D106" s="20" t="s">
        <v>46</v>
      </c>
      <c r="E106" s="17">
        <v>74000</v>
      </c>
      <c r="F106" s="16" t="s">
        <v>141</v>
      </c>
      <c r="G106" s="20"/>
      <c r="H106" s="9">
        <f>H107+H113+H117</f>
        <v>921.2</v>
      </c>
      <c r="I106" s="9">
        <f>I107+I113+I117</f>
        <v>891.4000000000001</v>
      </c>
      <c r="J106" s="9">
        <f>J107+J113+J117</f>
        <v>-29.79999999999998</v>
      </c>
      <c r="K106" s="9">
        <f t="shared" si="4"/>
        <v>-3.234910985670865</v>
      </c>
    </row>
    <row r="107" spans="1:11" s="21" customFormat="1" ht="25.5" customHeight="1">
      <c r="A107" s="32" t="s">
        <v>164</v>
      </c>
      <c r="B107" s="20" t="s">
        <v>33</v>
      </c>
      <c r="C107" s="20" t="s">
        <v>1</v>
      </c>
      <c r="D107" s="20" t="s">
        <v>46</v>
      </c>
      <c r="E107" s="17">
        <v>74002</v>
      </c>
      <c r="F107" s="16" t="s">
        <v>141</v>
      </c>
      <c r="G107" s="20"/>
      <c r="H107" s="9">
        <f>H108</f>
        <v>51.6</v>
      </c>
      <c r="I107" s="9">
        <f>I108</f>
        <v>51.2</v>
      </c>
      <c r="J107" s="9">
        <f>J108</f>
        <v>-0.40000000000000213</v>
      </c>
      <c r="K107" s="9">
        <f t="shared" si="4"/>
        <v>-0.7751937984496067</v>
      </c>
    </row>
    <row r="108" spans="1:11" s="21" customFormat="1" ht="38.25">
      <c r="A108" s="32" t="s">
        <v>165</v>
      </c>
      <c r="B108" s="20" t="s">
        <v>33</v>
      </c>
      <c r="C108" s="20" t="s">
        <v>1</v>
      </c>
      <c r="D108" s="20" t="s">
        <v>46</v>
      </c>
      <c r="E108" s="17">
        <v>74002</v>
      </c>
      <c r="F108" s="17">
        <v>99050</v>
      </c>
      <c r="G108" s="20"/>
      <c r="H108" s="9">
        <f>H109+H111</f>
        <v>51.6</v>
      </c>
      <c r="I108" s="9">
        <f>I109+I111</f>
        <v>51.2</v>
      </c>
      <c r="J108" s="9">
        <f>J109+J111</f>
        <v>-0.40000000000000213</v>
      </c>
      <c r="K108" s="9">
        <f t="shared" si="4"/>
        <v>-0.7751937984496067</v>
      </c>
    </row>
    <row r="109" spans="1:11" s="21" customFormat="1" ht="25.5" customHeight="1">
      <c r="A109" s="11" t="s">
        <v>62</v>
      </c>
      <c r="B109" s="20" t="s">
        <v>33</v>
      </c>
      <c r="C109" s="20" t="s">
        <v>1</v>
      </c>
      <c r="D109" s="20" t="s">
        <v>46</v>
      </c>
      <c r="E109" s="17">
        <v>74002</v>
      </c>
      <c r="F109" s="17">
        <v>99050</v>
      </c>
      <c r="G109" s="20" t="s">
        <v>61</v>
      </c>
      <c r="H109" s="9">
        <f>H110</f>
        <v>20</v>
      </c>
      <c r="I109" s="9">
        <f>I110</f>
        <v>20</v>
      </c>
      <c r="J109" s="9">
        <f>J110</f>
        <v>0</v>
      </c>
      <c r="K109" s="9">
        <f t="shared" si="4"/>
        <v>0</v>
      </c>
    </row>
    <row r="110" spans="1:12" s="21" customFormat="1" ht="51.75" customHeight="1">
      <c r="A110" s="11" t="s">
        <v>63</v>
      </c>
      <c r="B110" s="20" t="s">
        <v>33</v>
      </c>
      <c r="C110" s="20" t="s">
        <v>1</v>
      </c>
      <c r="D110" s="20" t="s">
        <v>46</v>
      </c>
      <c r="E110" s="17">
        <v>74002</v>
      </c>
      <c r="F110" s="17">
        <v>99050</v>
      </c>
      <c r="G110" s="20" t="s">
        <v>17</v>
      </c>
      <c r="H110" s="9">
        <v>20</v>
      </c>
      <c r="I110" s="9">
        <v>20</v>
      </c>
      <c r="J110" s="9">
        <f>I110-H110</f>
        <v>0</v>
      </c>
      <c r="K110" s="9">
        <f t="shared" si="4"/>
        <v>0</v>
      </c>
      <c r="L110" s="21">
        <v>54.7</v>
      </c>
    </row>
    <row r="111" spans="1:11" s="21" customFormat="1" ht="25.5" customHeight="1">
      <c r="A111" s="11" t="s">
        <v>66</v>
      </c>
      <c r="B111" s="20" t="s">
        <v>33</v>
      </c>
      <c r="C111" s="20" t="s">
        <v>1</v>
      </c>
      <c r="D111" s="20" t="s">
        <v>46</v>
      </c>
      <c r="E111" s="17">
        <v>74002</v>
      </c>
      <c r="F111" s="17">
        <v>99050</v>
      </c>
      <c r="G111" s="20" t="s">
        <v>64</v>
      </c>
      <c r="H111" s="9">
        <f>H112</f>
        <v>31.6</v>
      </c>
      <c r="I111" s="9">
        <f>I112</f>
        <v>31.2</v>
      </c>
      <c r="J111" s="9">
        <f>J112</f>
        <v>-0.40000000000000213</v>
      </c>
      <c r="K111" s="9">
        <f t="shared" si="4"/>
        <v>-1.2658227848101262</v>
      </c>
    </row>
    <row r="112" spans="1:11" s="21" customFormat="1" ht="25.5" customHeight="1">
      <c r="A112" s="11" t="s">
        <v>67</v>
      </c>
      <c r="B112" s="20" t="s">
        <v>33</v>
      </c>
      <c r="C112" s="20" t="s">
        <v>1</v>
      </c>
      <c r="D112" s="20" t="s">
        <v>46</v>
      </c>
      <c r="E112" s="17">
        <v>74002</v>
      </c>
      <c r="F112" s="17">
        <v>99050</v>
      </c>
      <c r="G112" s="20" t="s">
        <v>65</v>
      </c>
      <c r="H112" s="9">
        <f>40.6-9</f>
        <v>31.6</v>
      </c>
      <c r="I112" s="9">
        <v>31.2</v>
      </c>
      <c r="J112" s="9">
        <f>I112-H112</f>
        <v>-0.40000000000000213</v>
      </c>
      <c r="K112" s="9">
        <f t="shared" si="4"/>
        <v>-1.2658227848101262</v>
      </c>
    </row>
    <row r="113" spans="1:11" s="21" customFormat="1" ht="25.5" customHeight="1">
      <c r="A113" s="11" t="s">
        <v>133</v>
      </c>
      <c r="B113" s="20" t="s">
        <v>33</v>
      </c>
      <c r="C113" s="20" t="s">
        <v>1</v>
      </c>
      <c r="D113" s="20" t="s">
        <v>46</v>
      </c>
      <c r="E113" s="17">
        <v>74006</v>
      </c>
      <c r="F113" s="16" t="s">
        <v>141</v>
      </c>
      <c r="G113" s="20"/>
      <c r="H113" s="9">
        <f aca="true" t="shared" si="9" ref="H113:J115">H114</f>
        <v>572.6</v>
      </c>
      <c r="I113" s="9">
        <f t="shared" si="9"/>
        <v>570.2</v>
      </c>
      <c r="J113" s="9">
        <f t="shared" si="9"/>
        <v>-2.3999999999999773</v>
      </c>
      <c r="K113" s="9">
        <f t="shared" si="4"/>
        <v>-0.41914076143903856</v>
      </c>
    </row>
    <row r="114" spans="1:11" s="21" customFormat="1" ht="25.5" customHeight="1">
      <c r="A114" s="11" t="s">
        <v>133</v>
      </c>
      <c r="B114" s="20" t="s">
        <v>33</v>
      </c>
      <c r="C114" s="20" t="s">
        <v>1</v>
      </c>
      <c r="D114" s="20" t="s">
        <v>46</v>
      </c>
      <c r="E114" s="17">
        <v>74006</v>
      </c>
      <c r="F114" s="17">
        <v>99280</v>
      </c>
      <c r="G114" s="20"/>
      <c r="H114" s="9">
        <f t="shared" si="9"/>
        <v>572.6</v>
      </c>
      <c r="I114" s="9">
        <f t="shared" si="9"/>
        <v>570.2</v>
      </c>
      <c r="J114" s="9">
        <f t="shared" si="9"/>
        <v>-2.3999999999999773</v>
      </c>
      <c r="K114" s="9">
        <f t="shared" si="4"/>
        <v>-0.41914076143903856</v>
      </c>
    </row>
    <row r="115" spans="1:11" s="21" customFormat="1" ht="25.5" customHeight="1">
      <c r="A115" s="11" t="s">
        <v>62</v>
      </c>
      <c r="B115" s="20" t="s">
        <v>33</v>
      </c>
      <c r="C115" s="20" t="s">
        <v>1</v>
      </c>
      <c r="D115" s="20" t="s">
        <v>46</v>
      </c>
      <c r="E115" s="17">
        <v>74006</v>
      </c>
      <c r="F115" s="17">
        <v>99280</v>
      </c>
      <c r="G115" s="20" t="s">
        <v>61</v>
      </c>
      <c r="H115" s="9">
        <f t="shared" si="9"/>
        <v>572.6</v>
      </c>
      <c r="I115" s="9">
        <f t="shared" si="9"/>
        <v>570.2</v>
      </c>
      <c r="J115" s="9">
        <f t="shared" si="9"/>
        <v>-2.3999999999999773</v>
      </c>
      <c r="K115" s="9">
        <f t="shared" si="4"/>
        <v>-0.41914076143903856</v>
      </c>
    </row>
    <row r="116" spans="1:11" s="21" customFormat="1" ht="25.5" customHeight="1">
      <c r="A116" s="11" t="s">
        <v>63</v>
      </c>
      <c r="B116" s="20" t="s">
        <v>33</v>
      </c>
      <c r="C116" s="20" t="s">
        <v>1</v>
      </c>
      <c r="D116" s="20" t="s">
        <v>46</v>
      </c>
      <c r="E116" s="17">
        <v>74006</v>
      </c>
      <c r="F116" s="17">
        <v>99280</v>
      </c>
      <c r="G116" s="20" t="s">
        <v>17</v>
      </c>
      <c r="H116" s="9">
        <f>418.3+13.3+141</f>
        <v>572.6</v>
      </c>
      <c r="I116" s="9">
        <v>570.2</v>
      </c>
      <c r="J116" s="9">
        <f>I116-H116</f>
        <v>-2.3999999999999773</v>
      </c>
      <c r="K116" s="9">
        <f t="shared" si="4"/>
        <v>-0.41914076143903856</v>
      </c>
    </row>
    <row r="117" spans="1:11" s="21" customFormat="1" ht="63.75">
      <c r="A117" s="26" t="s">
        <v>243</v>
      </c>
      <c r="B117" s="20" t="s">
        <v>33</v>
      </c>
      <c r="C117" s="20" t="s">
        <v>1</v>
      </c>
      <c r="D117" s="20" t="s">
        <v>46</v>
      </c>
      <c r="E117" s="17">
        <v>74012</v>
      </c>
      <c r="F117" s="16" t="s">
        <v>141</v>
      </c>
      <c r="G117" s="20"/>
      <c r="H117" s="9">
        <f aca="true" t="shared" si="10" ref="H117:J119">H118</f>
        <v>297</v>
      </c>
      <c r="I117" s="9">
        <f t="shared" si="10"/>
        <v>270</v>
      </c>
      <c r="J117" s="9">
        <f t="shared" si="10"/>
        <v>-27</v>
      </c>
      <c r="K117" s="9">
        <f t="shared" si="4"/>
        <v>-9.090909090909093</v>
      </c>
    </row>
    <row r="118" spans="1:11" s="21" customFormat="1" ht="63.75">
      <c r="A118" s="26" t="s">
        <v>244</v>
      </c>
      <c r="B118" s="20" t="s">
        <v>33</v>
      </c>
      <c r="C118" s="20" t="s">
        <v>1</v>
      </c>
      <c r="D118" s="20" t="s">
        <v>46</v>
      </c>
      <c r="E118" s="17">
        <v>74012</v>
      </c>
      <c r="F118" s="17">
        <v>99290</v>
      </c>
      <c r="G118" s="20"/>
      <c r="H118" s="9">
        <f t="shared" si="10"/>
        <v>297</v>
      </c>
      <c r="I118" s="9">
        <f t="shared" si="10"/>
        <v>270</v>
      </c>
      <c r="J118" s="9">
        <f t="shared" si="10"/>
        <v>-27</v>
      </c>
      <c r="K118" s="9">
        <f t="shared" si="4"/>
        <v>-9.090909090909093</v>
      </c>
    </row>
    <row r="119" spans="1:11" s="21" customFormat="1" ht="25.5">
      <c r="A119" s="11" t="s">
        <v>62</v>
      </c>
      <c r="B119" s="20" t="s">
        <v>33</v>
      </c>
      <c r="C119" s="20" t="s">
        <v>1</v>
      </c>
      <c r="D119" s="20" t="s">
        <v>46</v>
      </c>
      <c r="E119" s="17">
        <v>74012</v>
      </c>
      <c r="F119" s="17">
        <v>99290</v>
      </c>
      <c r="G119" s="20" t="s">
        <v>61</v>
      </c>
      <c r="H119" s="9">
        <f t="shared" si="10"/>
        <v>297</v>
      </c>
      <c r="I119" s="9">
        <f t="shared" si="10"/>
        <v>270</v>
      </c>
      <c r="J119" s="9">
        <f t="shared" si="10"/>
        <v>-27</v>
      </c>
      <c r="K119" s="9">
        <f t="shared" si="4"/>
        <v>-9.090909090909093</v>
      </c>
    </row>
    <row r="120" spans="1:11" s="21" customFormat="1" ht="25.5" customHeight="1">
      <c r="A120" s="11" t="s">
        <v>63</v>
      </c>
      <c r="B120" s="20" t="s">
        <v>33</v>
      </c>
      <c r="C120" s="20" t="s">
        <v>1</v>
      </c>
      <c r="D120" s="20" t="s">
        <v>46</v>
      </c>
      <c r="E120" s="17">
        <v>74012</v>
      </c>
      <c r="F120" s="17">
        <v>99290</v>
      </c>
      <c r="G120" s="20" t="s">
        <v>17</v>
      </c>
      <c r="H120" s="9">
        <v>297</v>
      </c>
      <c r="I120" s="9">
        <v>270</v>
      </c>
      <c r="J120" s="9">
        <f>I120-H120</f>
        <v>-27</v>
      </c>
      <c r="K120" s="9">
        <f t="shared" si="4"/>
        <v>-9.090909090909093</v>
      </c>
    </row>
    <row r="121" spans="1:11" s="21" customFormat="1" ht="25.5" customHeight="1">
      <c r="A121" s="11" t="s">
        <v>245</v>
      </c>
      <c r="B121" s="20" t="s">
        <v>33</v>
      </c>
      <c r="C121" s="20" t="s">
        <v>1</v>
      </c>
      <c r="D121" s="20" t="s">
        <v>46</v>
      </c>
      <c r="E121" s="17">
        <v>76000</v>
      </c>
      <c r="F121" s="16" t="s">
        <v>141</v>
      </c>
      <c r="G121" s="20"/>
      <c r="H121" s="9">
        <f aca="true" t="shared" si="11" ref="H121:J124">H122</f>
        <v>20</v>
      </c>
      <c r="I121" s="9">
        <f t="shared" si="11"/>
        <v>19.9</v>
      </c>
      <c r="J121" s="9">
        <f t="shared" si="11"/>
        <v>-0.10000000000000142</v>
      </c>
      <c r="K121" s="9">
        <f t="shared" si="4"/>
        <v>-0.5000000000000142</v>
      </c>
    </row>
    <row r="122" spans="1:11" s="21" customFormat="1" ht="25.5" customHeight="1">
      <c r="A122" s="11" t="s">
        <v>246</v>
      </c>
      <c r="B122" s="20" t="s">
        <v>33</v>
      </c>
      <c r="C122" s="20" t="s">
        <v>1</v>
      </c>
      <c r="D122" s="20" t="s">
        <v>46</v>
      </c>
      <c r="E122" s="17">
        <v>76003</v>
      </c>
      <c r="F122" s="16" t="s">
        <v>141</v>
      </c>
      <c r="G122" s="20"/>
      <c r="H122" s="9">
        <f t="shared" si="11"/>
        <v>20</v>
      </c>
      <c r="I122" s="9">
        <f t="shared" si="11"/>
        <v>19.9</v>
      </c>
      <c r="J122" s="9">
        <f t="shared" si="11"/>
        <v>-0.10000000000000142</v>
      </c>
      <c r="K122" s="9">
        <f t="shared" si="4"/>
        <v>-0.5000000000000142</v>
      </c>
    </row>
    <row r="123" spans="1:11" s="21" customFormat="1" ht="12.75">
      <c r="A123" s="11" t="s">
        <v>247</v>
      </c>
      <c r="B123" s="20" t="s">
        <v>33</v>
      </c>
      <c r="C123" s="20" t="s">
        <v>1</v>
      </c>
      <c r="D123" s="20" t="s">
        <v>46</v>
      </c>
      <c r="E123" s="17">
        <v>76003</v>
      </c>
      <c r="F123" s="17">
        <v>99130</v>
      </c>
      <c r="G123" s="20"/>
      <c r="H123" s="9">
        <f t="shared" si="11"/>
        <v>20</v>
      </c>
      <c r="I123" s="9">
        <f t="shared" si="11"/>
        <v>19.9</v>
      </c>
      <c r="J123" s="9">
        <f t="shared" si="11"/>
        <v>-0.10000000000000142</v>
      </c>
      <c r="K123" s="9">
        <f t="shared" si="4"/>
        <v>-0.5000000000000142</v>
      </c>
    </row>
    <row r="124" spans="1:11" s="21" customFormat="1" ht="39.75" customHeight="1">
      <c r="A124" s="11" t="s">
        <v>62</v>
      </c>
      <c r="B124" s="20" t="s">
        <v>33</v>
      </c>
      <c r="C124" s="20" t="s">
        <v>1</v>
      </c>
      <c r="D124" s="20" t="s">
        <v>46</v>
      </c>
      <c r="E124" s="17">
        <v>76003</v>
      </c>
      <c r="F124" s="17">
        <v>99130</v>
      </c>
      <c r="G124" s="20" t="s">
        <v>61</v>
      </c>
      <c r="H124" s="9">
        <f t="shared" si="11"/>
        <v>20</v>
      </c>
      <c r="I124" s="9">
        <f t="shared" si="11"/>
        <v>19.9</v>
      </c>
      <c r="J124" s="9">
        <f t="shared" si="11"/>
        <v>-0.10000000000000142</v>
      </c>
      <c r="K124" s="9">
        <f t="shared" si="4"/>
        <v>-0.5000000000000142</v>
      </c>
    </row>
    <row r="125" spans="1:11" s="21" customFormat="1" ht="25.5" customHeight="1">
      <c r="A125" s="11" t="s">
        <v>63</v>
      </c>
      <c r="B125" s="20" t="s">
        <v>33</v>
      </c>
      <c r="C125" s="20" t="s">
        <v>1</v>
      </c>
      <c r="D125" s="20" t="s">
        <v>46</v>
      </c>
      <c r="E125" s="17">
        <v>76003</v>
      </c>
      <c r="F125" s="17">
        <v>99130</v>
      </c>
      <c r="G125" s="20" t="s">
        <v>17</v>
      </c>
      <c r="H125" s="9">
        <v>20</v>
      </c>
      <c r="I125" s="9">
        <v>19.9</v>
      </c>
      <c r="J125" s="9">
        <f>I125-H125</f>
        <v>-0.10000000000000142</v>
      </c>
      <c r="K125" s="9">
        <f t="shared" si="4"/>
        <v>-0.5000000000000142</v>
      </c>
    </row>
    <row r="126" spans="1:11" s="21" customFormat="1" ht="15">
      <c r="A126" s="11" t="s">
        <v>127</v>
      </c>
      <c r="B126" s="20" t="s">
        <v>33</v>
      </c>
      <c r="C126" s="20" t="s">
        <v>1</v>
      </c>
      <c r="D126" s="20" t="s">
        <v>46</v>
      </c>
      <c r="E126" s="15">
        <v>99000</v>
      </c>
      <c r="F126" s="16" t="s">
        <v>141</v>
      </c>
      <c r="G126" s="20"/>
      <c r="H126" s="9">
        <f>H127</f>
        <v>281.5</v>
      </c>
      <c r="I126" s="9">
        <f>I127</f>
        <v>174.1</v>
      </c>
      <c r="J126" s="9">
        <f>J127</f>
        <v>-107.4</v>
      </c>
      <c r="K126" s="9">
        <f t="shared" si="4"/>
        <v>-38.152753108348136</v>
      </c>
    </row>
    <row r="127" spans="1:11" s="21" customFormat="1" ht="25.5" customHeight="1">
      <c r="A127" s="11" t="s">
        <v>130</v>
      </c>
      <c r="B127" s="20" t="s">
        <v>33</v>
      </c>
      <c r="C127" s="20" t="s">
        <v>1</v>
      </c>
      <c r="D127" s="20" t="s">
        <v>46</v>
      </c>
      <c r="E127" s="15">
        <v>99300</v>
      </c>
      <c r="F127" s="16" t="s">
        <v>141</v>
      </c>
      <c r="G127" s="20"/>
      <c r="H127" s="9">
        <f>H133+H128</f>
        <v>281.5</v>
      </c>
      <c r="I127" s="9">
        <f>I133+I128</f>
        <v>174.1</v>
      </c>
      <c r="J127" s="9">
        <f>J133+J128</f>
        <v>-107.4</v>
      </c>
      <c r="K127" s="9">
        <f t="shared" si="4"/>
        <v>-38.152753108348136</v>
      </c>
    </row>
    <row r="128" spans="1:11" s="21" customFormat="1" ht="25.5" customHeight="1">
      <c r="A128" s="11" t="s">
        <v>248</v>
      </c>
      <c r="B128" s="20" t="s">
        <v>33</v>
      </c>
      <c r="C128" s="20" t="s">
        <v>1</v>
      </c>
      <c r="D128" s="20" t="s">
        <v>46</v>
      </c>
      <c r="E128" s="15">
        <v>99300</v>
      </c>
      <c r="F128" s="16" t="s">
        <v>249</v>
      </c>
      <c r="G128" s="20"/>
      <c r="H128" s="9">
        <f>H129+H131</f>
        <v>11.5</v>
      </c>
      <c r="I128" s="9">
        <f>I129+I131</f>
        <v>4</v>
      </c>
      <c r="J128" s="9">
        <f>J129+J131</f>
        <v>-7.5</v>
      </c>
      <c r="K128" s="9">
        <f t="shared" si="4"/>
        <v>-65.21739130434783</v>
      </c>
    </row>
    <row r="129" spans="1:11" s="21" customFormat="1" ht="14.25" customHeight="1">
      <c r="A129" s="11" t="s">
        <v>62</v>
      </c>
      <c r="B129" s="20" t="s">
        <v>33</v>
      </c>
      <c r="C129" s="20" t="s">
        <v>1</v>
      </c>
      <c r="D129" s="20" t="s">
        <v>46</v>
      </c>
      <c r="E129" s="15">
        <v>99300</v>
      </c>
      <c r="F129" s="16" t="s">
        <v>249</v>
      </c>
      <c r="G129" s="20" t="s">
        <v>61</v>
      </c>
      <c r="H129" s="9">
        <f>H130</f>
        <v>7.5</v>
      </c>
      <c r="I129" s="9">
        <f>I130</f>
        <v>0</v>
      </c>
      <c r="J129" s="9">
        <f>J130</f>
        <v>-7.5</v>
      </c>
      <c r="K129" s="9">
        <f t="shared" si="4"/>
        <v>-100</v>
      </c>
    </row>
    <row r="130" spans="1:11" s="21" customFormat="1" ht="14.25" customHeight="1">
      <c r="A130" s="11" t="s">
        <v>63</v>
      </c>
      <c r="B130" s="20" t="s">
        <v>33</v>
      </c>
      <c r="C130" s="20" t="s">
        <v>1</v>
      </c>
      <c r="D130" s="20" t="s">
        <v>46</v>
      </c>
      <c r="E130" s="15">
        <v>99300</v>
      </c>
      <c r="F130" s="16" t="s">
        <v>249</v>
      </c>
      <c r="G130" s="20" t="s">
        <v>17</v>
      </c>
      <c r="H130" s="9">
        <f>11.5-4</f>
        <v>7.5</v>
      </c>
      <c r="I130" s="9">
        <v>0</v>
      </c>
      <c r="J130" s="9">
        <f>I130-H130</f>
        <v>-7.5</v>
      </c>
      <c r="K130" s="9">
        <f t="shared" si="4"/>
        <v>-100</v>
      </c>
    </row>
    <row r="131" spans="1:11" s="21" customFormat="1" ht="14.25" customHeight="1">
      <c r="A131" s="11" t="s">
        <v>66</v>
      </c>
      <c r="B131" s="20" t="s">
        <v>33</v>
      </c>
      <c r="C131" s="20" t="s">
        <v>1</v>
      </c>
      <c r="D131" s="20" t="s">
        <v>46</v>
      </c>
      <c r="E131" s="15">
        <v>99300</v>
      </c>
      <c r="F131" s="16" t="s">
        <v>249</v>
      </c>
      <c r="G131" s="20" t="s">
        <v>64</v>
      </c>
      <c r="H131" s="9">
        <f>H132</f>
        <v>4</v>
      </c>
      <c r="I131" s="9">
        <f>I132</f>
        <v>4</v>
      </c>
      <c r="J131" s="9">
        <f>J132</f>
        <v>0</v>
      </c>
      <c r="K131" s="9">
        <f t="shared" si="4"/>
        <v>0</v>
      </c>
    </row>
    <row r="132" spans="1:11" s="21" customFormat="1" ht="27.75" customHeight="1">
      <c r="A132" s="11" t="s">
        <v>67</v>
      </c>
      <c r="B132" s="20" t="s">
        <v>33</v>
      </c>
      <c r="C132" s="20" t="s">
        <v>1</v>
      </c>
      <c r="D132" s="20" t="s">
        <v>46</v>
      </c>
      <c r="E132" s="15">
        <v>99300</v>
      </c>
      <c r="F132" s="16" t="s">
        <v>249</v>
      </c>
      <c r="G132" s="20" t="s">
        <v>65</v>
      </c>
      <c r="H132" s="9">
        <v>4</v>
      </c>
      <c r="I132" s="9">
        <v>4</v>
      </c>
      <c r="J132" s="9">
        <f>I132-H132</f>
        <v>0</v>
      </c>
      <c r="K132" s="9">
        <f t="shared" si="4"/>
        <v>0</v>
      </c>
    </row>
    <row r="133" spans="1:11" s="21" customFormat="1" ht="39" customHeight="1">
      <c r="A133" s="36" t="s">
        <v>250</v>
      </c>
      <c r="B133" s="20" t="s">
        <v>33</v>
      </c>
      <c r="C133" s="20" t="s">
        <v>1</v>
      </c>
      <c r="D133" s="20" t="s">
        <v>46</v>
      </c>
      <c r="E133" s="15">
        <v>99300</v>
      </c>
      <c r="F133" s="16" t="s">
        <v>242</v>
      </c>
      <c r="G133" s="20"/>
      <c r="H133" s="9">
        <f aca="true" t="shared" si="12" ref="H133:J134">H134</f>
        <v>270</v>
      </c>
      <c r="I133" s="9">
        <f t="shared" si="12"/>
        <v>170.1</v>
      </c>
      <c r="J133" s="9">
        <f t="shared" si="12"/>
        <v>-99.9</v>
      </c>
      <c r="K133" s="9">
        <f t="shared" si="4"/>
        <v>-37</v>
      </c>
    </row>
    <row r="134" spans="1:11" s="21" customFormat="1" ht="25.5" customHeight="1">
      <c r="A134" s="11" t="s">
        <v>62</v>
      </c>
      <c r="B134" s="20" t="s">
        <v>33</v>
      </c>
      <c r="C134" s="20" t="s">
        <v>1</v>
      </c>
      <c r="D134" s="20" t="s">
        <v>46</v>
      </c>
      <c r="E134" s="15">
        <v>99300</v>
      </c>
      <c r="F134" s="16" t="s">
        <v>242</v>
      </c>
      <c r="G134" s="20" t="s">
        <v>61</v>
      </c>
      <c r="H134" s="9">
        <f t="shared" si="12"/>
        <v>270</v>
      </c>
      <c r="I134" s="9">
        <f t="shared" si="12"/>
        <v>170.1</v>
      </c>
      <c r="J134" s="9">
        <f t="shared" si="12"/>
        <v>-99.9</v>
      </c>
      <c r="K134" s="9">
        <f t="shared" si="4"/>
        <v>-37</v>
      </c>
    </row>
    <row r="135" spans="1:11" s="21" customFormat="1" ht="14.25" customHeight="1">
      <c r="A135" s="11" t="s">
        <v>63</v>
      </c>
      <c r="B135" s="20" t="s">
        <v>33</v>
      </c>
      <c r="C135" s="20" t="s">
        <v>1</v>
      </c>
      <c r="D135" s="20" t="s">
        <v>46</v>
      </c>
      <c r="E135" s="15">
        <v>99300</v>
      </c>
      <c r="F135" s="16" t="s">
        <v>242</v>
      </c>
      <c r="G135" s="20" t="s">
        <v>17</v>
      </c>
      <c r="H135" s="9">
        <f>150+120</f>
        <v>270</v>
      </c>
      <c r="I135" s="9">
        <v>170.1</v>
      </c>
      <c r="J135" s="9">
        <f>I135-H135</f>
        <v>-99.9</v>
      </c>
      <c r="K135" s="9">
        <f t="shared" si="4"/>
        <v>-37</v>
      </c>
    </row>
    <row r="136" spans="1:11" s="21" customFormat="1" ht="12.75">
      <c r="A136" s="11" t="s">
        <v>87</v>
      </c>
      <c r="B136" s="20" t="s">
        <v>33</v>
      </c>
      <c r="C136" s="20" t="s">
        <v>6</v>
      </c>
      <c r="D136" s="20"/>
      <c r="E136" s="20"/>
      <c r="F136" s="20"/>
      <c r="G136" s="20"/>
      <c r="H136" s="9">
        <f aca="true" t="shared" si="13" ref="H136:J141">H137</f>
        <v>153.9</v>
      </c>
      <c r="I136" s="9">
        <f t="shared" si="13"/>
        <v>153.9</v>
      </c>
      <c r="J136" s="9">
        <f t="shared" si="13"/>
        <v>0</v>
      </c>
      <c r="K136" s="9">
        <f t="shared" si="4"/>
        <v>0</v>
      </c>
    </row>
    <row r="137" spans="1:11" s="21" customFormat="1" ht="12.75">
      <c r="A137" s="11" t="s">
        <v>88</v>
      </c>
      <c r="B137" s="20" t="s">
        <v>33</v>
      </c>
      <c r="C137" s="20" t="s">
        <v>6</v>
      </c>
      <c r="D137" s="20" t="s">
        <v>5</v>
      </c>
      <c r="E137" s="20"/>
      <c r="F137" s="20"/>
      <c r="G137" s="20"/>
      <c r="H137" s="9">
        <f t="shared" si="13"/>
        <v>153.9</v>
      </c>
      <c r="I137" s="9">
        <f t="shared" si="13"/>
        <v>153.9</v>
      </c>
      <c r="J137" s="9">
        <f t="shared" si="13"/>
        <v>0</v>
      </c>
      <c r="K137" s="9">
        <f t="shared" si="4"/>
        <v>0</v>
      </c>
    </row>
    <row r="138" spans="1:11" s="21" customFormat="1" ht="25.5">
      <c r="A138" s="14" t="s">
        <v>98</v>
      </c>
      <c r="B138" s="20" t="s">
        <v>33</v>
      </c>
      <c r="C138" s="20" t="s">
        <v>6</v>
      </c>
      <c r="D138" s="20" t="s">
        <v>5</v>
      </c>
      <c r="E138" s="15">
        <v>71000</v>
      </c>
      <c r="F138" s="16" t="s">
        <v>141</v>
      </c>
      <c r="G138" s="20"/>
      <c r="H138" s="9">
        <f t="shared" si="13"/>
        <v>153.9</v>
      </c>
      <c r="I138" s="9">
        <f t="shared" si="13"/>
        <v>153.9</v>
      </c>
      <c r="J138" s="9">
        <f t="shared" si="13"/>
        <v>0</v>
      </c>
      <c r="K138" s="9">
        <f aca="true" t="shared" si="14" ref="K138:K201">I138/H138*100-100</f>
        <v>0</v>
      </c>
    </row>
    <row r="139" spans="1:11" s="21" customFormat="1" ht="15">
      <c r="A139" s="11" t="s">
        <v>148</v>
      </c>
      <c r="B139" s="20" t="s">
        <v>33</v>
      </c>
      <c r="C139" s="20" t="s">
        <v>6</v>
      </c>
      <c r="D139" s="20" t="s">
        <v>5</v>
      </c>
      <c r="E139" s="17">
        <v>71003</v>
      </c>
      <c r="F139" s="16" t="s">
        <v>141</v>
      </c>
      <c r="G139" s="20"/>
      <c r="H139" s="9">
        <f t="shared" si="13"/>
        <v>153.9</v>
      </c>
      <c r="I139" s="9">
        <f t="shared" si="13"/>
        <v>153.9</v>
      </c>
      <c r="J139" s="9">
        <f t="shared" si="13"/>
        <v>0</v>
      </c>
      <c r="K139" s="9">
        <f t="shared" si="14"/>
        <v>0</v>
      </c>
    </row>
    <row r="140" spans="1:11" s="21" customFormat="1" ht="16.5" customHeight="1">
      <c r="A140" s="11" t="s">
        <v>106</v>
      </c>
      <c r="B140" s="20" t="s">
        <v>33</v>
      </c>
      <c r="C140" s="20" t="s">
        <v>6</v>
      </c>
      <c r="D140" s="20" t="s">
        <v>5</v>
      </c>
      <c r="E140" s="17">
        <v>71003</v>
      </c>
      <c r="F140" s="17">
        <v>51180</v>
      </c>
      <c r="G140" s="20"/>
      <c r="H140" s="9">
        <f t="shared" si="13"/>
        <v>153.9</v>
      </c>
      <c r="I140" s="9">
        <f t="shared" si="13"/>
        <v>153.9</v>
      </c>
      <c r="J140" s="9">
        <f t="shared" si="13"/>
        <v>0</v>
      </c>
      <c r="K140" s="9">
        <f t="shared" si="14"/>
        <v>0</v>
      </c>
    </row>
    <row r="141" spans="1:11" s="21" customFormat="1" ht="51">
      <c r="A141" s="11" t="s">
        <v>58</v>
      </c>
      <c r="B141" s="20" t="s">
        <v>33</v>
      </c>
      <c r="C141" s="20" t="s">
        <v>6</v>
      </c>
      <c r="D141" s="20" t="s">
        <v>5</v>
      </c>
      <c r="E141" s="17">
        <v>71003</v>
      </c>
      <c r="F141" s="17">
        <v>51180</v>
      </c>
      <c r="G141" s="20" t="s">
        <v>57</v>
      </c>
      <c r="H141" s="9">
        <f t="shared" si="13"/>
        <v>153.9</v>
      </c>
      <c r="I141" s="9">
        <f t="shared" si="13"/>
        <v>153.9</v>
      </c>
      <c r="J141" s="9">
        <f t="shared" si="13"/>
        <v>0</v>
      </c>
      <c r="K141" s="9">
        <f t="shared" si="14"/>
        <v>0</v>
      </c>
    </row>
    <row r="142" spans="1:11" s="21" customFormat="1" ht="25.5" customHeight="1">
      <c r="A142" s="11" t="s">
        <v>60</v>
      </c>
      <c r="B142" s="20" t="s">
        <v>33</v>
      </c>
      <c r="C142" s="20" t="s">
        <v>6</v>
      </c>
      <c r="D142" s="20" t="s">
        <v>5</v>
      </c>
      <c r="E142" s="17">
        <v>71003</v>
      </c>
      <c r="F142" s="17">
        <v>51180</v>
      </c>
      <c r="G142" s="20" t="s">
        <v>59</v>
      </c>
      <c r="H142" s="9">
        <v>153.9</v>
      </c>
      <c r="I142" s="9">
        <v>153.9</v>
      </c>
      <c r="J142" s="9">
        <f>I142-H142</f>
        <v>0</v>
      </c>
      <c r="K142" s="9">
        <f t="shared" si="14"/>
        <v>0</v>
      </c>
    </row>
    <row r="143" spans="1:11" s="21" customFormat="1" ht="12.75">
      <c r="A143" s="11" t="s">
        <v>15</v>
      </c>
      <c r="B143" s="19" t="s">
        <v>33</v>
      </c>
      <c r="C143" s="19" t="s">
        <v>5</v>
      </c>
      <c r="D143" s="20"/>
      <c r="E143" s="20"/>
      <c r="F143" s="20"/>
      <c r="G143" s="20"/>
      <c r="H143" s="9">
        <f>H144+H162</f>
        <v>8014.200000000001</v>
      </c>
      <c r="I143" s="9">
        <f>I144+I162</f>
        <v>7933.2</v>
      </c>
      <c r="J143" s="9">
        <f>J144+J162</f>
        <v>-81.00000000000037</v>
      </c>
      <c r="K143" s="9">
        <f t="shared" si="14"/>
        <v>-1.0107059968555916</v>
      </c>
    </row>
    <row r="144" spans="1:11" s="21" customFormat="1" ht="25.5" customHeight="1">
      <c r="A144" s="11" t="s">
        <v>41</v>
      </c>
      <c r="B144" s="20" t="s">
        <v>33</v>
      </c>
      <c r="C144" s="20" t="s">
        <v>5</v>
      </c>
      <c r="D144" s="20" t="s">
        <v>16</v>
      </c>
      <c r="E144" s="20"/>
      <c r="F144" s="20"/>
      <c r="G144" s="20"/>
      <c r="H144" s="9">
        <f>H145</f>
        <v>8012.000000000001</v>
      </c>
      <c r="I144" s="9">
        <f>I145</f>
        <v>7931.9</v>
      </c>
      <c r="J144" s="9">
        <f>J145</f>
        <v>-80.10000000000036</v>
      </c>
      <c r="K144" s="9">
        <f t="shared" si="14"/>
        <v>-0.9997503744383636</v>
      </c>
    </row>
    <row r="145" spans="1:11" s="21" customFormat="1" ht="25.5" customHeight="1">
      <c r="A145" s="11" t="s">
        <v>100</v>
      </c>
      <c r="B145" s="19" t="s">
        <v>33</v>
      </c>
      <c r="C145" s="19" t="s">
        <v>5</v>
      </c>
      <c r="D145" s="20" t="s">
        <v>16</v>
      </c>
      <c r="E145" s="17">
        <v>73000</v>
      </c>
      <c r="F145" s="16" t="s">
        <v>141</v>
      </c>
      <c r="G145" s="20"/>
      <c r="H145" s="9">
        <f>H150+H158+H146</f>
        <v>8012.000000000001</v>
      </c>
      <c r="I145" s="9">
        <f>I150+I158+I146</f>
        <v>7931.9</v>
      </c>
      <c r="J145" s="9">
        <f>J150+J158+J146</f>
        <v>-80.10000000000036</v>
      </c>
      <c r="K145" s="9">
        <f t="shared" si="14"/>
        <v>-0.9997503744383636</v>
      </c>
    </row>
    <row r="146" spans="1:11" s="21" customFormat="1" ht="38.25">
      <c r="A146" s="46" t="s">
        <v>251</v>
      </c>
      <c r="B146" s="19" t="s">
        <v>33</v>
      </c>
      <c r="C146" s="19" t="s">
        <v>5</v>
      </c>
      <c r="D146" s="20" t="s">
        <v>16</v>
      </c>
      <c r="E146" s="17">
        <v>73002</v>
      </c>
      <c r="F146" s="16" t="s">
        <v>141</v>
      </c>
      <c r="G146" s="20"/>
      <c r="H146" s="9">
        <f aca="true" t="shared" si="15" ref="H146:J148">H147</f>
        <v>267.1</v>
      </c>
      <c r="I146" s="9">
        <f t="shared" si="15"/>
        <v>267.1</v>
      </c>
      <c r="J146" s="9">
        <f t="shared" si="15"/>
        <v>0</v>
      </c>
      <c r="K146" s="9">
        <f t="shared" si="14"/>
        <v>0</v>
      </c>
    </row>
    <row r="147" spans="1:11" s="21" customFormat="1" ht="37.5" customHeight="1">
      <c r="A147" s="46" t="s">
        <v>252</v>
      </c>
      <c r="B147" s="19" t="s">
        <v>33</v>
      </c>
      <c r="C147" s="19" t="s">
        <v>5</v>
      </c>
      <c r="D147" s="20" t="s">
        <v>16</v>
      </c>
      <c r="E147" s="17">
        <v>73002</v>
      </c>
      <c r="F147" s="16" t="s">
        <v>253</v>
      </c>
      <c r="G147" s="20"/>
      <c r="H147" s="9">
        <f t="shared" si="15"/>
        <v>267.1</v>
      </c>
      <c r="I147" s="9">
        <f t="shared" si="15"/>
        <v>267.1</v>
      </c>
      <c r="J147" s="9">
        <f t="shared" si="15"/>
        <v>0</v>
      </c>
      <c r="K147" s="9">
        <f t="shared" si="14"/>
        <v>0</v>
      </c>
    </row>
    <row r="148" spans="1:11" s="21" customFormat="1" ht="15.75" customHeight="1">
      <c r="A148" s="11" t="s">
        <v>62</v>
      </c>
      <c r="B148" s="19" t="s">
        <v>33</v>
      </c>
      <c r="C148" s="19" t="s">
        <v>5</v>
      </c>
      <c r="D148" s="20" t="s">
        <v>16</v>
      </c>
      <c r="E148" s="17">
        <v>73002</v>
      </c>
      <c r="F148" s="16" t="s">
        <v>253</v>
      </c>
      <c r="G148" s="20" t="s">
        <v>61</v>
      </c>
      <c r="H148" s="9">
        <f t="shared" si="15"/>
        <v>267.1</v>
      </c>
      <c r="I148" s="9">
        <f t="shared" si="15"/>
        <v>267.1</v>
      </c>
      <c r="J148" s="9">
        <f t="shared" si="15"/>
        <v>0</v>
      </c>
      <c r="K148" s="9">
        <f t="shared" si="14"/>
        <v>0</v>
      </c>
    </row>
    <row r="149" spans="1:11" s="21" customFormat="1" ht="25.5">
      <c r="A149" s="11" t="s">
        <v>63</v>
      </c>
      <c r="B149" s="19" t="s">
        <v>33</v>
      </c>
      <c r="C149" s="19" t="s">
        <v>5</v>
      </c>
      <c r="D149" s="20" t="s">
        <v>16</v>
      </c>
      <c r="E149" s="17">
        <v>73002</v>
      </c>
      <c r="F149" s="16" t="s">
        <v>253</v>
      </c>
      <c r="G149" s="20" t="s">
        <v>17</v>
      </c>
      <c r="H149" s="9">
        <f>144+108.1+15</f>
        <v>267.1</v>
      </c>
      <c r="I149" s="9">
        <f>144+108.1+15</f>
        <v>267.1</v>
      </c>
      <c r="J149" s="9">
        <f>I149-H149</f>
        <v>0</v>
      </c>
      <c r="K149" s="9">
        <f t="shared" si="14"/>
        <v>0</v>
      </c>
    </row>
    <row r="150" spans="1:11" s="21" customFormat="1" ht="25.5">
      <c r="A150" s="11" t="s">
        <v>168</v>
      </c>
      <c r="B150" s="20" t="s">
        <v>33</v>
      </c>
      <c r="C150" s="20" t="s">
        <v>5</v>
      </c>
      <c r="D150" s="20" t="s">
        <v>16</v>
      </c>
      <c r="E150" s="17">
        <v>73005</v>
      </c>
      <c r="F150" s="16" t="s">
        <v>141</v>
      </c>
      <c r="G150" s="20"/>
      <c r="H150" s="9">
        <f>H151</f>
        <v>7696.900000000001</v>
      </c>
      <c r="I150" s="9">
        <f>I151</f>
        <v>7619.4</v>
      </c>
      <c r="J150" s="9">
        <f>J151</f>
        <v>-77.50000000000037</v>
      </c>
      <c r="K150" s="9">
        <f t="shared" si="14"/>
        <v>-1.0068988813678317</v>
      </c>
    </row>
    <row r="151" spans="1:11" s="21" customFormat="1" ht="25.5">
      <c r="A151" s="11" t="s">
        <v>169</v>
      </c>
      <c r="B151" s="19" t="s">
        <v>33</v>
      </c>
      <c r="C151" s="19" t="s">
        <v>5</v>
      </c>
      <c r="D151" s="20" t="s">
        <v>16</v>
      </c>
      <c r="E151" s="17">
        <v>73005</v>
      </c>
      <c r="F151" s="18" t="s">
        <v>170</v>
      </c>
      <c r="G151" s="20"/>
      <c r="H151" s="9">
        <f>H152+H154+H156</f>
        <v>7696.900000000001</v>
      </c>
      <c r="I151" s="9">
        <f>I152+I154+I156</f>
        <v>7619.4</v>
      </c>
      <c r="J151" s="9">
        <f>J152+J154+J156</f>
        <v>-77.50000000000037</v>
      </c>
      <c r="K151" s="9">
        <f t="shared" si="14"/>
        <v>-1.0068988813678317</v>
      </c>
    </row>
    <row r="152" spans="1:11" s="21" customFormat="1" ht="51">
      <c r="A152" s="11" t="s">
        <v>58</v>
      </c>
      <c r="B152" s="20" t="s">
        <v>33</v>
      </c>
      <c r="C152" s="20" t="s">
        <v>5</v>
      </c>
      <c r="D152" s="20" t="s">
        <v>16</v>
      </c>
      <c r="E152" s="17">
        <v>73005</v>
      </c>
      <c r="F152" s="18" t="s">
        <v>170</v>
      </c>
      <c r="G152" s="20" t="s">
        <v>57</v>
      </c>
      <c r="H152" s="9">
        <f>H153</f>
        <v>6278.8</v>
      </c>
      <c r="I152" s="9">
        <f>I153</f>
        <v>6267.7</v>
      </c>
      <c r="J152" s="9">
        <f>J153</f>
        <v>-11.100000000000364</v>
      </c>
      <c r="K152" s="9">
        <f t="shared" si="14"/>
        <v>-0.17678537300122343</v>
      </c>
    </row>
    <row r="153" spans="1:11" s="21" customFormat="1" ht="12.75">
      <c r="A153" s="11" t="s">
        <v>77</v>
      </c>
      <c r="B153" s="19" t="s">
        <v>33</v>
      </c>
      <c r="C153" s="19" t="s">
        <v>5</v>
      </c>
      <c r="D153" s="20" t="s">
        <v>16</v>
      </c>
      <c r="E153" s="17">
        <v>73005</v>
      </c>
      <c r="F153" s="18" t="s">
        <v>170</v>
      </c>
      <c r="G153" s="20" t="s">
        <v>76</v>
      </c>
      <c r="H153" s="9">
        <f>6192.8+31.8+54.3-0.1</f>
        <v>6278.8</v>
      </c>
      <c r="I153" s="9">
        <v>6267.7</v>
      </c>
      <c r="J153" s="9">
        <f>I153-H153</f>
        <v>-11.100000000000364</v>
      </c>
      <c r="K153" s="9">
        <f t="shared" si="14"/>
        <v>-0.17678537300122343</v>
      </c>
    </row>
    <row r="154" spans="1:11" s="21" customFormat="1" ht="25.5">
      <c r="A154" s="11" t="s">
        <v>62</v>
      </c>
      <c r="B154" s="20" t="s">
        <v>33</v>
      </c>
      <c r="C154" s="20" t="s">
        <v>5</v>
      </c>
      <c r="D154" s="20" t="s">
        <v>16</v>
      </c>
      <c r="E154" s="17">
        <v>73005</v>
      </c>
      <c r="F154" s="18" t="s">
        <v>170</v>
      </c>
      <c r="G154" s="20" t="s">
        <v>61</v>
      </c>
      <c r="H154" s="9">
        <f>H155</f>
        <v>1406</v>
      </c>
      <c r="I154" s="9">
        <f>I155</f>
        <v>1344</v>
      </c>
      <c r="J154" s="9">
        <f>J155</f>
        <v>-62</v>
      </c>
      <c r="K154" s="9">
        <f t="shared" si="14"/>
        <v>-4.409672830725469</v>
      </c>
    </row>
    <row r="155" spans="1:11" s="21" customFormat="1" ht="25.5" customHeight="1">
      <c r="A155" s="11" t="s">
        <v>63</v>
      </c>
      <c r="B155" s="19" t="s">
        <v>33</v>
      </c>
      <c r="C155" s="19" t="s">
        <v>5</v>
      </c>
      <c r="D155" s="20" t="s">
        <v>16</v>
      </c>
      <c r="E155" s="17">
        <v>73005</v>
      </c>
      <c r="F155" s="18" t="s">
        <v>170</v>
      </c>
      <c r="G155" s="20" t="s">
        <v>17</v>
      </c>
      <c r="H155" s="9">
        <f>1386-10+30</f>
        <v>1406</v>
      </c>
      <c r="I155" s="9">
        <v>1344</v>
      </c>
      <c r="J155" s="9">
        <f>I155-H155</f>
        <v>-62</v>
      </c>
      <c r="K155" s="9">
        <f t="shared" si="14"/>
        <v>-4.409672830725469</v>
      </c>
    </row>
    <row r="156" spans="1:11" s="21" customFormat="1" ht="12.75">
      <c r="A156" s="11" t="s">
        <v>66</v>
      </c>
      <c r="B156" s="20" t="s">
        <v>33</v>
      </c>
      <c r="C156" s="20" t="s">
        <v>5</v>
      </c>
      <c r="D156" s="20" t="s">
        <v>16</v>
      </c>
      <c r="E156" s="17">
        <v>73005</v>
      </c>
      <c r="F156" s="18" t="s">
        <v>170</v>
      </c>
      <c r="G156" s="20" t="s">
        <v>64</v>
      </c>
      <c r="H156" s="9">
        <f>H157</f>
        <v>12.1</v>
      </c>
      <c r="I156" s="9">
        <f>I157</f>
        <v>7.7</v>
      </c>
      <c r="J156" s="9">
        <f>J157</f>
        <v>-4.3999999999999995</v>
      </c>
      <c r="K156" s="9">
        <f t="shared" si="14"/>
        <v>-36.36363636363637</v>
      </c>
    </row>
    <row r="157" spans="1:11" s="21" customFormat="1" ht="25.5" customHeight="1">
      <c r="A157" s="11" t="s">
        <v>67</v>
      </c>
      <c r="B157" s="19" t="s">
        <v>33</v>
      </c>
      <c r="C157" s="19" t="s">
        <v>5</v>
      </c>
      <c r="D157" s="20" t="s">
        <v>16</v>
      </c>
      <c r="E157" s="17">
        <v>73005</v>
      </c>
      <c r="F157" s="18" t="s">
        <v>170</v>
      </c>
      <c r="G157" s="20" t="s">
        <v>65</v>
      </c>
      <c r="H157" s="9">
        <f>6.2+10+1-4-1.1</f>
        <v>12.1</v>
      </c>
      <c r="I157" s="9">
        <v>7.7</v>
      </c>
      <c r="J157" s="9">
        <f>I157-H157</f>
        <v>-4.3999999999999995</v>
      </c>
      <c r="K157" s="9">
        <f t="shared" si="14"/>
        <v>-36.36363636363637</v>
      </c>
    </row>
    <row r="158" spans="1:11" s="21" customFormat="1" ht="25.5" customHeight="1">
      <c r="A158" s="11" t="s">
        <v>171</v>
      </c>
      <c r="B158" s="20" t="s">
        <v>33</v>
      </c>
      <c r="C158" s="20" t="s">
        <v>5</v>
      </c>
      <c r="D158" s="20" t="s">
        <v>16</v>
      </c>
      <c r="E158" s="17">
        <v>73006</v>
      </c>
      <c r="F158" s="16" t="s">
        <v>141</v>
      </c>
      <c r="G158" s="20"/>
      <c r="H158" s="9">
        <f aca="true" t="shared" si="16" ref="H158:J160">H159</f>
        <v>48</v>
      </c>
      <c r="I158" s="9">
        <f t="shared" si="16"/>
        <v>45.4</v>
      </c>
      <c r="J158" s="9">
        <f t="shared" si="16"/>
        <v>-2.6000000000000014</v>
      </c>
      <c r="K158" s="9">
        <f t="shared" si="14"/>
        <v>-5.416666666666671</v>
      </c>
    </row>
    <row r="159" spans="1:11" s="21" customFormat="1" ht="25.5" customHeight="1">
      <c r="A159" s="11" t="s">
        <v>171</v>
      </c>
      <c r="B159" s="20" t="s">
        <v>33</v>
      </c>
      <c r="C159" s="20" t="s">
        <v>5</v>
      </c>
      <c r="D159" s="20" t="s">
        <v>16</v>
      </c>
      <c r="E159" s="17">
        <v>73006</v>
      </c>
      <c r="F159" s="17">
        <v>99010</v>
      </c>
      <c r="G159" s="20"/>
      <c r="H159" s="9">
        <f t="shared" si="16"/>
        <v>48</v>
      </c>
      <c r="I159" s="9">
        <f t="shared" si="16"/>
        <v>45.4</v>
      </c>
      <c r="J159" s="9">
        <f t="shared" si="16"/>
        <v>-2.6000000000000014</v>
      </c>
      <c r="K159" s="9">
        <f t="shared" si="14"/>
        <v>-5.416666666666671</v>
      </c>
    </row>
    <row r="160" spans="1:11" s="21" customFormat="1" ht="25.5">
      <c r="A160" s="11" t="s">
        <v>62</v>
      </c>
      <c r="B160" s="19" t="s">
        <v>33</v>
      </c>
      <c r="C160" s="19" t="s">
        <v>5</v>
      </c>
      <c r="D160" s="20" t="s">
        <v>16</v>
      </c>
      <c r="E160" s="17">
        <v>73006</v>
      </c>
      <c r="F160" s="17">
        <v>99010</v>
      </c>
      <c r="G160" s="20" t="s">
        <v>61</v>
      </c>
      <c r="H160" s="9">
        <f t="shared" si="16"/>
        <v>48</v>
      </c>
      <c r="I160" s="9">
        <f t="shared" si="16"/>
        <v>45.4</v>
      </c>
      <c r="J160" s="9">
        <f t="shared" si="16"/>
        <v>-2.6000000000000014</v>
      </c>
      <c r="K160" s="9">
        <f t="shared" si="14"/>
        <v>-5.416666666666671</v>
      </c>
    </row>
    <row r="161" spans="1:11" s="21" customFormat="1" ht="25.5">
      <c r="A161" s="11" t="s">
        <v>63</v>
      </c>
      <c r="B161" s="19" t="s">
        <v>33</v>
      </c>
      <c r="C161" s="19" t="s">
        <v>5</v>
      </c>
      <c r="D161" s="20" t="s">
        <v>16</v>
      </c>
      <c r="E161" s="17">
        <v>73006</v>
      </c>
      <c r="F161" s="17">
        <v>99010</v>
      </c>
      <c r="G161" s="20" t="s">
        <v>17</v>
      </c>
      <c r="H161" s="9">
        <f>8+40</f>
        <v>48</v>
      </c>
      <c r="I161" s="9">
        <v>45.4</v>
      </c>
      <c r="J161" s="9">
        <f>I161-H161</f>
        <v>-2.6000000000000014</v>
      </c>
      <c r="K161" s="9">
        <f t="shared" si="14"/>
        <v>-5.416666666666671</v>
      </c>
    </row>
    <row r="162" spans="1:11" s="21" customFormat="1" ht="25.5">
      <c r="A162" s="11" t="s">
        <v>254</v>
      </c>
      <c r="B162" s="19" t="s">
        <v>33</v>
      </c>
      <c r="C162" s="19" t="s">
        <v>5</v>
      </c>
      <c r="D162" s="20" t="s">
        <v>255</v>
      </c>
      <c r="E162" s="17"/>
      <c r="F162" s="17"/>
      <c r="G162" s="20"/>
      <c r="H162" s="9">
        <f aca="true" t="shared" si="17" ref="H162:J166">H163</f>
        <v>2.2</v>
      </c>
      <c r="I162" s="9">
        <f t="shared" si="17"/>
        <v>1.3</v>
      </c>
      <c r="J162" s="9">
        <f t="shared" si="17"/>
        <v>-0.9000000000000001</v>
      </c>
      <c r="K162" s="9">
        <f t="shared" si="14"/>
        <v>-40.90909090909092</v>
      </c>
    </row>
    <row r="163" spans="1:11" s="21" customFormat="1" ht="25.5">
      <c r="A163" s="11" t="s">
        <v>100</v>
      </c>
      <c r="B163" s="19" t="s">
        <v>33</v>
      </c>
      <c r="C163" s="19" t="s">
        <v>5</v>
      </c>
      <c r="D163" s="20" t="s">
        <v>255</v>
      </c>
      <c r="E163" s="17">
        <v>73000</v>
      </c>
      <c r="F163" s="16" t="s">
        <v>141</v>
      </c>
      <c r="G163" s="20"/>
      <c r="H163" s="9">
        <f t="shared" si="17"/>
        <v>2.2</v>
      </c>
      <c r="I163" s="9">
        <f t="shared" si="17"/>
        <v>1.3</v>
      </c>
      <c r="J163" s="9">
        <f t="shared" si="17"/>
        <v>-0.9000000000000001</v>
      </c>
      <c r="K163" s="9">
        <f t="shared" si="14"/>
        <v>-40.90909090909092</v>
      </c>
    </row>
    <row r="164" spans="1:11" s="21" customFormat="1" ht="38.25">
      <c r="A164" s="32" t="s">
        <v>166</v>
      </c>
      <c r="B164" s="19" t="s">
        <v>33</v>
      </c>
      <c r="C164" s="19" t="s">
        <v>5</v>
      </c>
      <c r="D164" s="20" t="s">
        <v>255</v>
      </c>
      <c r="E164" s="17">
        <v>73003</v>
      </c>
      <c r="F164" s="16" t="s">
        <v>141</v>
      </c>
      <c r="G164" s="20"/>
      <c r="H164" s="9">
        <f t="shared" si="17"/>
        <v>2.2</v>
      </c>
      <c r="I164" s="9">
        <f t="shared" si="17"/>
        <v>1.3</v>
      </c>
      <c r="J164" s="9">
        <f t="shared" si="17"/>
        <v>-0.9000000000000001</v>
      </c>
      <c r="K164" s="9">
        <f t="shared" si="14"/>
        <v>-40.90909090909092</v>
      </c>
    </row>
    <row r="165" spans="1:11" s="21" customFormat="1" ht="25.5">
      <c r="A165" s="32" t="s">
        <v>167</v>
      </c>
      <c r="B165" s="19" t="s">
        <v>33</v>
      </c>
      <c r="C165" s="19" t="s">
        <v>5</v>
      </c>
      <c r="D165" s="20" t="s">
        <v>255</v>
      </c>
      <c r="E165" s="17">
        <v>73003</v>
      </c>
      <c r="F165" s="17">
        <v>99990</v>
      </c>
      <c r="G165" s="20"/>
      <c r="H165" s="9">
        <f t="shared" si="17"/>
        <v>2.2</v>
      </c>
      <c r="I165" s="9">
        <f t="shared" si="17"/>
        <v>1.3</v>
      </c>
      <c r="J165" s="9">
        <f t="shared" si="17"/>
        <v>-0.9000000000000001</v>
      </c>
      <c r="K165" s="9">
        <f t="shared" si="14"/>
        <v>-40.90909090909092</v>
      </c>
    </row>
    <row r="166" spans="1:11" s="21" customFormat="1" ht="25.5">
      <c r="A166" s="11" t="s">
        <v>62</v>
      </c>
      <c r="B166" s="19" t="s">
        <v>33</v>
      </c>
      <c r="C166" s="19" t="s">
        <v>5</v>
      </c>
      <c r="D166" s="20" t="s">
        <v>255</v>
      </c>
      <c r="E166" s="17">
        <v>73003</v>
      </c>
      <c r="F166" s="17">
        <v>99990</v>
      </c>
      <c r="G166" s="20" t="s">
        <v>61</v>
      </c>
      <c r="H166" s="9">
        <f t="shared" si="17"/>
        <v>2.2</v>
      </c>
      <c r="I166" s="9">
        <f t="shared" si="17"/>
        <v>1.3</v>
      </c>
      <c r="J166" s="9">
        <f t="shared" si="17"/>
        <v>-0.9000000000000001</v>
      </c>
      <c r="K166" s="9">
        <f t="shared" si="14"/>
        <v>-40.90909090909092</v>
      </c>
    </row>
    <row r="167" spans="1:11" s="21" customFormat="1" ht="25.5" customHeight="1">
      <c r="A167" s="11" t="s">
        <v>63</v>
      </c>
      <c r="B167" s="19" t="s">
        <v>33</v>
      </c>
      <c r="C167" s="19" t="s">
        <v>5</v>
      </c>
      <c r="D167" s="20" t="s">
        <v>255</v>
      </c>
      <c r="E167" s="17">
        <v>73003</v>
      </c>
      <c r="F167" s="17">
        <v>99990</v>
      </c>
      <c r="G167" s="20" t="s">
        <v>17</v>
      </c>
      <c r="H167" s="9">
        <v>2.2</v>
      </c>
      <c r="I167" s="9">
        <v>1.3</v>
      </c>
      <c r="J167" s="9">
        <f>I167-H167</f>
        <v>-0.9000000000000001</v>
      </c>
      <c r="K167" s="9">
        <f t="shared" si="14"/>
        <v>-40.90909090909092</v>
      </c>
    </row>
    <row r="168" spans="1:11" s="21" customFormat="1" ht="25.5" customHeight="1">
      <c r="A168" s="11" t="s">
        <v>21</v>
      </c>
      <c r="B168" s="19" t="s">
        <v>33</v>
      </c>
      <c r="C168" s="19" t="s">
        <v>8</v>
      </c>
      <c r="D168" s="20"/>
      <c r="E168" s="20"/>
      <c r="F168" s="20"/>
      <c r="G168" s="20"/>
      <c r="H168" s="9">
        <f>H169+H178+H188+H196</f>
        <v>5655.1</v>
      </c>
      <c r="I168" s="9">
        <f>I169+I178+I188+I196</f>
        <v>5195.9</v>
      </c>
      <c r="J168" s="9">
        <f>J169+J178+J188+J196</f>
        <v>-459.2</v>
      </c>
      <c r="K168" s="9">
        <f t="shared" si="14"/>
        <v>-8.12010397694118</v>
      </c>
    </row>
    <row r="169" spans="1:11" s="21" customFormat="1" ht="12.75">
      <c r="A169" s="11" t="s">
        <v>172</v>
      </c>
      <c r="B169" s="19" t="s">
        <v>33</v>
      </c>
      <c r="C169" s="19" t="s">
        <v>8</v>
      </c>
      <c r="D169" s="20" t="s">
        <v>4</v>
      </c>
      <c r="E169" s="20"/>
      <c r="F169" s="20"/>
      <c r="G169" s="20"/>
      <c r="H169" s="9">
        <f aca="true" t="shared" si="18" ref="H169:J170">H170</f>
        <v>45.2</v>
      </c>
      <c r="I169" s="9">
        <f t="shared" si="18"/>
        <v>0</v>
      </c>
      <c r="J169" s="9">
        <f t="shared" si="18"/>
        <v>-45.2</v>
      </c>
      <c r="K169" s="9">
        <f t="shared" si="14"/>
        <v>-100</v>
      </c>
    </row>
    <row r="170" spans="1:11" s="21" customFormat="1" ht="15">
      <c r="A170" s="11" t="s">
        <v>127</v>
      </c>
      <c r="B170" s="19" t="s">
        <v>33</v>
      </c>
      <c r="C170" s="19" t="s">
        <v>8</v>
      </c>
      <c r="D170" s="20" t="s">
        <v>4</v>
      </c>
      <c r="E170" s="27">
        <v>99000</v>
      </c>
      <c r="F170" s="28" t="s">
        <v>141</v>
      </c>
      <c r="G170" s="20"/>
      <c r="H170" s="9">
        <f t="shared" si="18"/>
        <v>45.2</v>
      </c>
      <c r="I170" s="9">
        <f t="shared" si="18"/>
        <v>0</v>
      </c>
      <c r="J170" s="9">
        <f t="shared" si="18"/>
        <v>-45.2</v>
      </c>
      <c r="K170" s="9">
        <f t="shared" si="14"/>
        <v>-100</v>
      </c>
    </row>
    <row r="171" spans="1:11" s="21" customFormat="1" ht="15">
      <c r="A171" s="11" t="s">
        <v>130</v>
      </c>
      <c r="B171" s="19" t="s">
        <v>33</v>
      </c>
      <c r="C171" s="19" t="s">
        <v>8</v>
      </c>
      <c r="D171" s="20" t="s">
        <v>4</v>
      </c>
      <c r="E171" s="15">
        <v>99300</v>
      </c>
      <c r="F171" s="16" t="s">
        <v>141</v>
      </c>
      <c r="G171" s="20"/>
      <c r="H171" s="9">
        <f>H172+H175</f>
        <v>45.2</v>
      </c>
      <c r="I171" s="9">
        <f>I172+I175</f>
        <v>0</v>
      </c>
      <c r="J171" s="9">
        <f>J172+J175</f>
        <v>-45.2</v>
      </c>
      <c r="K171" s="9">
        <f t="shared" si="14"/>
        <v>-100</v>
      </c>
    </row>
    <row r="172" spans="1:11" s="21" customFormat="1" ht="25.5" customHeight="1">
      <c r="A172" s="11" t="s">
        <v>173</v>
      </c>
      <c r="B172" s="19" t="s">
        <v>33</v>
      </c>
      <c r="C172" s="19" t="s">
        <v>8</v>
      </c>
      <c r="D172" s="20" t="s">
        <v>4</v>
      </c>
      <c r="E172" s="15">
        <v>99300</v>
      </c>
      <c r="F172" s="16" t="s">
        <v>174</v>
      </c>
      <c r="G172" s="20"/>
      <c r="H172" s="9">
        <f aca="true" t="shared" si="19" ref="H172:J173">H173</f>
        <v>44.6</v>
      </c>
      <c r="I172" s="9">
        <f t="shared" si="19"/>
        <v>0</v>
      </c>
      <c r="J172" s="9">
        <f t="shared" si="19"/>
        <v>-44.6</v>
      </c>
      <c r="K172" s="9">
        <f t="shared" si="14"/>
        <v>-100</v>
      </c>
    </row>
    <row r="173" spans="1:11" s="21" customFormat="1" ht="25.5">
      <c r="A173" s="11" t="s">
        <v>62</v>
      </c>
      <c r="B173" s="19" t="s">
        <v>33</v>
      </c>
      <c r="C173" s="19" t="s">
        <v>8</v>
      </c>
      <c r="D173" s="20" t="s">
        <v>4</v>
      </c>
      <c r="E173" s="15">
        <v>99300</v>
      </c>
      <c r="F173" s="16" t="s">
        <v>174</v>
      </c>
      <c r="G173" s="20" t="s">
        <v>61</v>
      </c>
      <c r="H173" s="9">
        <f t="shared" si="19"/>
        <v>44.6</v>
      </c>
      <c r="I173" s="9">
        <f t="shared" si="19"/>
        <v>0</v>
      </c>
      <c r="J173" s="9">
        <f t="shared" si="19"/>
        <v>-44.6</v>
      </c>
      <c r="K173" s="9">
        <f t="shared" si="14"/>
        <v>-100</v>
      </c>
    </row>
    <row r="174" spans="1:11" s="21" customFormat="1" ht="25.5">
      <c r="A174" s="11" t="s">
        <v>63</v>
      </c>
      <c r="B174" s="19" t="s">
        <v>33</v>
      </c>
      <c r="C174" s="19" t="s">
        <v>8</v>
      </c>
      <c r="D174" s="20" t="s">
        <v>4</v>
      </c>
      <c r="E174" s="15">
        <v>99300</v>
      </c>
      <c r="F174" s="16" t="s">
        <v>174</v>
      </c>
      <c r="G174" s="20" t="s">
        <v>17</v>
      </c>
      <c r="H174" s="9">
        <v>44.6</v>
      </c>
      <c r="I174" s="9">
        <v>0</v>
      </c>
      <c r="J174" s="9">
        <f>I174-H174</f>
        <v>-44.6</v>
      </c>
      <c r="K174" s="9">
        <f t="shared" si="14"/>
        <v>-100</v>
      </c>
    </row>
    <row r="175" spans="1:11" s="21" customFormat="1" ht="38.25">
      <c r="A175" s="11" t="s">
        <v>175</v>
      </c>
      <c r="B175" s="19" t="s">
        <v>33</v>
      </c>
      <c r="C175" s="19" t="s">
        <v>8</v>
      </c>
      <c r="D175" s="20" t="s">
        <v>4</v>
      </c>
      <c r="E175" s="15">
        <v>99300</v>
      </c>
      <c r="F175" s="16" t="s">
        <v>176</v>
      </c>
      <c r="G175" s="20"/>
      <c r="H175" s="9">
        <f aca="true" t="shared" si="20" ref="H175:J176">H176</f>
        <v>0.6</v>
      </c>
      <c r="I175" s="9">
        <f t="shared" si="20"/>
        <v>0</v>
      </c>
      <c r="J175" s="9">
        <f t="shared" si="20"/>
        <v>-0.6</v>
      </c>
      <c r="K175" s="9">
        <f t="shared" si="14"/>
        <v>-100</v>
      </c>
    </row>
    <row r="176" spans="1:11" s="21" customFormat="1" ht="25.5">
      <c r="A176" s="11" t="s">
        <v>62</v>
      </c>
      <c r="B176" s="19" t="s">
        <v>33</v>
      </c>
      <c r="C176" s="19" t="s">
        <v>8</v>
      </c>
      <c r="D176" s="20" t="s">
        <v>4</v>
      </c>
      <c r="E176" s="15">
        <v>99300</v>
      </c>
      <c r="F176" s="16" t="s">
        <v>176</v>
      </c>
      <c r="G176" s="20" t="s">
        <v>61</v>
      </c>
      <c r="H176" s="9">
        <f t="shared" si="20"/>
        <v>0.6</v>
      </c>
      <c r="I176" s="9">
        <f t="shared" si="20"/>
        <v>0</v>
      </c>
      <c r="J176" s="9">
        <f t="shared" si="20"/>
        <v>-0.6</v>
      </c>
      <c r="K176" s="9">
        <f t="shared" si="14"/>
        <v>-100</v>
      </c>
    </row>
    <row r="177" spans="1:11" s="21" customFormat="1" ht="25.5">
      <c r="A177" s="11" t="s">
        <v>63</v>
      </c>
      <c r="B177" s="19" t="s">
        <v>33</v>
      </c>
      <c r="C177" s="19" t="s">
        <v>8</v>
      </c>
      <c r="D177" s="20" t="s">
        <v>4</v>
      </c>
      <c r="E177" s="15">
        <v>99300</v>
      </c>
      <c r="F177" s="16" t="s">
        <v>176</v>
      </c>
      <c r="G177" s="20" t="s">
        <v>17</v>
      </c>
      <c r="H177" s="9">
        <v>0.6</v>
      </c>
      <c r="I177" s="9">
        <v>0</v>
      </c>
      <c r="J177" s="9">
        <f>I177-H177</f>
        <v>-0.6</v>
      </c>
      <c r="K177" s="9">
        <f t="shared" si="14"/>
        <v>-100</v>
      </c>
    </row>
    <row r="178" spans="1:11" s="21" customFormat="1" ht="12.75">
      <c r="A178" s="11" t="s">
        <v>177</v>
      </c>
      <c r="B178" s="19" t="s">
        <v>33</v>
      </c>
      <c r="C178" s="19" t="s">
        <v>8</v>
      </c>
      <c r="D178" s="20" t="s">
        <v>3</v>
      </c>
      <c r="E178" s="20"/>
      <c r="F178" s="20"/>
      <c r="G178" s="20"/>
      <c r="H178" s="9">
        <f>H179</f>
        <v>1401.9</v>
      </c>
      <c r="I178" s="9">
        <f>I179</f>
        <v>1401.9</v>
      </c>
      <c r="J178" s="9">
        <f>J179</f>
        <v>0</v>
      </c>
      <c r="K178" s="9">
        <f t="shared" si="14"/>
        <v>0</v>
      </c>
    </row>
    <row r="179" spans="1:11" s="21" customFormat="1" ht="15">
      <c r="A179" s="11" t="s">
        <v>99</v>
      </c>
      <c r="B179" s="19" t="s">
        <v>33</v>
      </c>
      <c r="C179" s="19" t="s">
        <v>8</v>
      </c>
      <c r="D179" s="20" t="s">
        <v>3</v>
      </c>
      <c r="E179" s="15">
        <v>72000</v>
      </c>
      <c r="F179" s="16" t="s">
        <v>141</v>
      </c>
      <c r="G179" s="20"/>
      <c r="H179" s="9">
        <f>H184+H180</f>
        <v>1401.9</v>
      </c>
      <c r="I179" s="9">
        <f>I184+I180</f>
        <v>1401.9</v>
      </c>
      <c r="J179" s="9">
        <f>J184+J180</f>
        <v>0</v>
      </c>
      <c r="K179" s="9">
        <f t="shared" si="14"/>
        <v>0</v>
      </c>
    </row>
    <row r="180" spans="1:11" s="21" customFormat="1" ht="25.5">
      <c r="A180" s="11" t="s">
        <v>240</v>
      </c>
      <c r="B180" s="19" t="s">
        <v>33</v>
      </c>
      <c r="C180" s="19" t="s">
        <v>8</v>
      </c>
      <c r="D180" s="20" t="s">
        <v>3</v>
      </c>
      <c r="E180" s="15">
        <v>72001</v>
      </c>
      <c r="F180" s="16" t="s">
        <v>141</v>
      </c>
      <c r="G180" s="20"/>
      <c r="H180" s="9">
        <f aca="true" t="shared" si="21" ref="H180:J182">H181</f>
        <v>1200</v>
      </c>
      <c r="I180" s="9">
        <f t="shared" si="21"/>
        <v>1200</v>
      </c>
      <c r="J180" s="9">
        <f t="shared" si="21"/>
        <v>0</v>
      </c>
      <c r="K180" s="9">
        <f t="shared" si="14"/>
        <v>0</v>
      </c>
    </row>
    <row r="181" spans="1:11" s="21" customFormat="1" ht="38.25" customHeight="1">
      <c r="A181" s="11" t="s">
        <v>256</v>
      </c>
      <c r="B181" s="19" t="s">
        <v>33</v>
      </c>
      <c r="C181" s="19" t="s">
        <v>8</v>
      </c>
      <c r="D181" s="20" t="s">
        <v>3</v>
      </c>
      <c r="E181" s="15">
        <v>72001</v>
      </c>
      <c r="F181" s="16" t="s">
        <v>257</v>
      </c>
      <c r="G181" s="20"/>
      <c r="H181" s="9">
        <f t="shared" si="21"/>
        <v>1200</v>
      </c>
      <c r="I181" s="9">
        <f t="shared" si="21"/>
        <v>1200</v>
      </c>
      <c r="J181" s="9">
        <f t="shared" si="21"/>
        <v>0</v>
      </c>
      <c r="K181" s="9">
        <f t="shared" si="14"/>
        <v>0</v>
      </c>
    </row>
    <row r="182" spans="1:11" s="21" customFormat="1" ht="15.75" customHeight="1">
      <c r="A182" s="11" t="s">
        <v>62</v>
      </c>
      <c r="B182" s="19" t="s">
        <v>33</v>
      </c>
      <c r="C182" s="19" t="s">
        <v>8</v>
      </c>
      <c r="D182" s="20" t="s">
        <v>3</v>
      </c>
      <c r="E182" s="15">
        <v>72001</v>
      </c>
      <c r="F182" s="16" t="s">
        <v>257</v>
      </c>
      <c r="G182" s="20" t="s">
        <v>61</v>
      </c>
      <c r="H182" s="9">
        <f t="shared" si="21"/>
        <v>1200</v>
      </c>
      <c r="I182" s="9">
        <f t="shared" si="21"/>
        <v>1200</v>
      </c>
      <c r="J182" s="9">
        <f t="shared" si="21"/>
        <v>0</v>
      </c>
      <c r="K182" s="9">
        <f t="shared" si="14"/>
        <v>0</v>
      </c>
    </row>
    <row r="183" spans="1:11" s="21" customFormat="1" ht="15.75" customHeight="1">
      <c r="A183" s="11" t="s">
        <v>63</v>
      </c>
      <c r="B183" s="19" t="s">
        <v>33</v>
      </c>
      <c r="C183" s="19" t="s">
        <v>8</v>
      </c>
      <c r="D183" s="20" t="s">
        <v>3</v>
      </c>
      <c r="E183" s="15">
        <v>72001</v>
      </c>
      <c r="F183" s="16" t="s">
        <v>257</v>
      </c>
      <c r="G183" s="20" t="s">
        <v>17</v>
      </c>
      <c r="H183" s="9">
        <f>1008+192</f>
        <v>1200</v>
      </c>
      <c r="I183" s="9">
        <f>1008+192</f>
        <v>1200</v>
      </c>
      <c r="J183" s="9">
        <f>I183-H183</f>
        <v>0</v>
      </c>
      <c r="K183" s="9">
        <f t="shared" si="14"/>
        <v>0</v>
      </c>
    </row>
    <row r="184" spans="1:11" s="21" customFormat="1" ht="51">
      <c r="A184" s="11" t="s">
        <v>178</v>
      </c>
      <c r="B184" s="19" t="s">
        <v>33</v>
      </c>
      <c r="C184" s="19" t="s">
        <v>8</v>
      </c>
      <c r="D184" s="20" t="s">
        <v>3</v>
      </c>
      <c r="E184" s="15">
        <v>72006</v>
      </c>
      <c r="F184" s="16" t="s">
        <v>141</v>
      </c>
      <c r="G184" s="20"/>
      <c r="H184" s="9">
        <f aca="true" t="shared" si="22" ref="H184:J186">H185</f>
        <v>201.9</v>
      </c>
      <c r="I184" s="9">
        <f t="shared" si="22"/>
        <v>201.9</v>
      </c>
      <c r="J184" s="9">
        <f t="shared" si="22"/>
        <v>0</v>
      </c>
      <c r="K184" s="9">
        <f t="shared" si="14"/>
        <v>0</v>
      </c>
    </row>
    <row r="185" spans="1:11" s="21" customFormat="1" ht="38.25">
      <c r="A185" s="11" t="s">
        <v>179</v>
      </c>
      <c r="B185" s="19" t="s">
        <v>33</v>
      </c>
      <c r="C185" s="19" t="s">
        <v>8</v>
      </c>
      <c r="D185" s="20" t="s">
        <v>3</v>
      </c>
      <c r="E185" s="15">
        <v>72006</v>
      </c>
      <c r="F185" s="16" t="s">
        <v>180</v>
      </c>
      <c r="G185" s="20"/>
      <c r="H185" s="9">
        <f t="shared" si="22"/>
        <v>201.9</v>
      </c>
      <c r="I185" s="9">
        <f t="shared" si="22"/>
        <v>201.9</v>
      </c>
      <c r="J185" s="9">
        <f t="shared" si="22"/>
        <v>0</v>
      </c>
      <c r="K185" s="9">
        <f t="shared" si="14"/>
        <v>0</v>
      </c>
    </row>
    <row r="186" spans="1:11" s="21" customFormat="1" ht="15">
      <c r="A186" s="11" t="s">
        <v>66</v>
      </c>
      <c r="B186" s="19" t="s">
        <v>33</v>
      </c>
      <c r="C186" s="19" t="s">
        <v>8</v>
      </c>
      <c r="D186" s="20" t="s">
        <v>3</v>
      </c>
      <c r="E186" s="15">
        <v>72006</v>
      </c>
      <c r="F186" s="16" t="s">
        <v>180</v>
      </c>
      <c r="G186" s="20" t="s">
        <v>64</v>
      </c>
      <c r="H186" s="9">
        <f t="shared" si="22"/>
        <v>201.9</v>
      </c>
      <c r="I186" s="9">
        <f t="shared" si="22"/>
        <v>201.9</v>
      </c>
      <c r="J186" s="9">
        <f t="shared" si="22"/>
        <v>0</v>
      </c>
      <c r="K186" s="9">
        <f t="shared" si="14"/>
        <v>0</v>
      </c>
    </row>
    <row r="187" spans="1:11" s="21" customFormat="1" ht="25.5">
      <c r="A187" s="11" t="s">
        <v>95</v>
      </c>
      <c r="B187" s="19" t="s">
        <v>33</v>
      </c>
      <c r="C187" s="19" t="s">
        <v>8</v>
      </c>
      <c r="D187" s="20" t="s">
        <v>3</v>
      </c>
      <c r="E187" s="15">
        <v>72006</v>
      </c>
      <c r="F187" s="16" t="s">
        <v>180</v>
      </c>
      <c r="G187" s="20" t="s">
        <v>94</v>
      </c>
      <c r="H187" s="9">
        <f>190+11.9</f>
        <v>201.9</v>
      </c>
      <c r="I187" s="9">
        <f>190+11.9</f>
        <v>201.9</v>
      </c>
      <c r="J187" s="9">
        <f>I187-H187</f>
        <v>0</v>
      </c>
      <c r="K187" s="9">
        <f t="shared" si="14"/>
        <v>0</v>
      </c>
    </row>
    <row r="188" spans="1:11" s="21" customFormat="1" ht="25.5" customHeight="1">
      <c r="A188" s="11" t="s">
        <v>54</v>
      </c>
      <c r="B188" s="19" t="s">
        <v>33</v>
      </c>
      <c r="C188" s="19" t="s">
        <v>8</v>
      </c>
      <c r="D188" s="20" t="s">
        <v>16</v>
      </c>
      <c r="E188" s="20"/>
      <c r="F188" s="20"/>
      <c r="G188" s="20"/>
      <c r="H188" s="9">
        <f aca="true" t="shared" si="23" ref="H188:J190">H189</f>
        <v>4173</v>
      </c>
      <c r="I188" s="9">
        <f t="shared" si="23"/>
        <v>3787.5</v>
      </c>
      <c r="J188" s="9">
        <f t="shared" si="23"/>
        <v>-385.5</v>
      </c>
      <c r="K188" s="9">
        <f t="shared" si="14"/>
        <v>-9.237958303378875</v>
      </c>
    </row>
    <row r="189" spans="1:11" s="21" customFormat="1" ht="38.25">
      <c r="A189" s="11" t="s">
        <v>102</v>
      </c>
      <c r="B189" s="19" t="s">
        <v>33</v>
      </c>
      <c r="C189" s="19" t="s">
        <v>8</v>
      </c>
      <c r="D189" s="20" t="s">
        <v>16</v>
      </c>
      <c r="E189" s="15">
        <v>75000</v>
      </c>
      <c r="F189" s="16" t="s">
        <v>141</v>
      </c>
      <c r="G189" s="20"/>
      <c r="H189" s="9">
        <f t="shared" si="23"/>
        <v>4173</v>
      </c>
      <c r="I189" s="9">
        <f t="shared" si="23"/>
        <v>3787.5</v>
      </c>
      <c r="J189" s="9">
        <f t="shared" si="23"/>
        <v>-385.5</v>
      </c>
      <c r="K189" s="9">
        <f t="shared" si="14"/>
        <v>-9.237958303378875</v>
      </c>
    </row>
    <row r="190" spans="1:11" s="21" customFormat="1" ht="38.25">
      <c r="A190" s="11" t="s">
        <v>181</v>
      </c>
      <c r="B190" s="19" t="s">
        <v>33</v>
      </c>
      <c r="C190" s="19" t="s">
        <v>8</v>
      </c>
      <c r="D190" s="20" t="s">
        <v>16</v>
      </c>
      <c r="E190" s="17">
        <v>75001</v>
      </c>
      <c r="F190" s="16" t="s">
        <v>141</v>
      </c>
      <c r="G190" s="20"/>
      <c r="H190" s="9">
        <f t="shared" si="23"/>
        <v>4173</v>
      </c>
      <c r="I190" s="9">
        <f t="shared" si="23"/>
        <v>3787.5</v>
      </c>
      <c r="J190" s="9">
        <f t="shared" si="23"/>
        <v>-385.5</v>
      </c>
      <c r="K190" s="9">
        <f t="shared" si="14"/>
        <v>-9.237958303378875</v>
      </c>
    </row>
    <row r="191" spans="1:11" s="21" customFormat="1" ht="38.25">
      <c r="A191" s="34" t="s">
        <v>182</v>
      </c>
      <c r="B191" s="19" t="s">
        <v>33</v>
      </c>
      <c r="C191" s="19" t="s">
        <v>8</v>
      </c>
      <c r="D191" s="20" t="s">
        <v>16</v>
      </c>
      <c r="E191" s="17">
        <v>75001</v>
      </c>
      <c r="F191" s="35" t="s">
        <v>183</v>
      </c>
      <c r="G191" s="20"/>
      <c r="H191" s="9">
        <f>H192+H194</f>
        <v>4173</v>
      </c>
      <c r="I191" s="9">
        <f>I192+I194</f>
        <v>3787.5</v>
      </c>
      <c r="J191" s="9">
        <f>J192+J194</f>
        <v>-385.5</v>
      </c>
      <c r="K191" s="9">
        <f t="shared" si="14"/>
        <v>-9.237958303378875</v>
      </c>
    </row>
    <row r="192" spans="1:11" s="21" customFormat="1" ht="18.75" customHeight="1">
      <c r="A192" s="11" t="s">
        <v>62</v>
      </c>
      <c r="B192" s="19" t="s">
        <v>33</v>
      </c>
      <c r="C192" s="19" t="s">
        <v>8</v>
      </c>
      <c r="D192" s="20" t="s">
        <v>16</v>
      </c>
      <c r="E192" s="17">
        <v>75001</v>
      </c>
      <c r="F192" s="35" t="s">
        <v>183</v>
      </c>
      <c r="G192" s="20" t="s">
        <v>61</v>
      </c>
      <c r="H192" s="9">
        <f>H193</f>
        <v>778.2</v>
      </c>
      <c r="I192" s="9">
        <f>I193</f>
        <v>681.7</v>
      </c>
      <c r="J192" s="9">
        <f>J193</f>
        <v>-96.5</v>
      </c>
      <c r="K192" s="9">
        <f t="shared" si="14"/>
        <v>-12.400411205345677</v>
      </c>
    </row>
    <row r="193" spans="1:11" s="21" customFormat="1" ht="25.5">
      <c r="A193" s="11" t="s">
        <v>63</v>
      </c>
      <c r="B193" s="19" t="s">
        <v>33</v>
      </c>
      <c r="C193" s="19" t="s">
        <v>8</v>
      </c>
      <c r="D193" s="20" t="s">
        <v>16</v>
      </c>
      <c r="E193" s="17">
        <v>75001</v>
      </c>
      <c r="F193" s="35" t="s">
        <v>183</v>
      </c>
      <c r="G193" s="20" t="s">
        <v>17</v>
      </c>
      <c r="H193" s="9">
        <f>1635+823.4-365.8-302.6-1011.8</f>
        <v>778.2</v>
      </c>
      <c r="I193" s="9">
        <v>681.7</v>
      </c>
      <c r="J193" s="9">
        <f>I193-H193</f>
        <v>-96.5</v>
      </c>
      <c r="K193" s="9">
        <f t="shared" si="14"/>
        <v>-12.400411205345677</v>
      </c>
    </row>
    <row r="194" spans="1:11" s="21" customFormat="1" ht="15">
      <c r="A194" s="11" t="s">
        <v>66</v>
      </c>
      <c r="B194" s="19" t="s">
        <v>33</v>
      </c>
      <c r="C194" s="19" t="s">
        <v>8</v>
      </c>
      <c r="D194" s="20" t="s">
        <v>16</v>
      </c>
      <c r="E194" s="17">
        <v>75001</v>
      </c>
      <c r="F194" s="35" t="s">
        <v>183</v>
      </c>
      <c r="G194" s="20" t="s">
        <v>64</v>
      </c>
      <c r="H194" s="9">
        <f>H195</f>
        <v>3394.8</v>
      </c>
      <c r="I194" s="9">
        <f>I195</f>
        <v>3105.8</v>
      </c>
      <c r="J194" s="9">
        <f>J195</f>
        <v>-289</v>
      </c>
      <c r="K194" s="9">
        <f t="shared" si="14"/>
        <v>-8.513019912807835</v>
      </c>
    </row>
    <row r="195" spans="1:11" s="21" customFormat="1" ht="25.5">
      <c r="A195" s="11" t="s">
        <v>95</v>
      </c>
      <c r="B195" s="19" t="s">
        <v>33</v>
      </c>
      <c r="C195" s="19" t="s">
        <v>8</v>
      </c>
      <c r="D195" s="20" t="s">
        <v>16</v>
      </c>
      <c r="E195" s="17">
        <v>75001</v>
      </c>
      <c r="F195" s="35" t="s">
        <v>183</v>
      </c>
      <c r="G195" s="20" t="s">
        <v>94</v>
      </c>
      <c r="H195" s="9">
        <f>1426.4+50+302.6+1011.8+604</f>
        <v>3394.8</v>
      </c>
      <c r="I195" s="9">
        <v>3105.8</v>
      </c>
      <c r="J195" s="9">
        <f>I195-H195</f>
        <v>-289</v>
      </c>
      <c r="K195" s="9">
        <f t="shared" si="14"/>
        <v>-8.513019912807835</v>
      </c>
    </row>
    <row r="196" spans="1:11" s="21" customFormat="1" ht="15" customHeight="1">
      <c r="A196" s="11" t="s">
        <v>184</v>
      </c>
      <c r="B196" s="19" t="s">
        <v>33</v>
      </c>
      <c r="C196" s="19" t="s">
        <v>8</v>
      </c>
      <c r="D196" s="20" t="s">
        <v>35</v>
      </c>
      <c r="E196" s="20"/>
      <c r="F196" s="20"/>
      <c r="G196" s="20"/>
      <c r="H196" s="9">
        <f aca="true" t="shared" si="24" ref="H196:J200">H197</f>
        <v>35</v>
      </c>
      <c r="I196" s="9">
        <f t="shared" si="24"/>
        <v>6.5</v>
      </c>
      <c r="J196" s="9">
        <f t="shared" si="24"/>
        <v>-28.5</v>
      </c>
      <c r="K196" s="9">
        <f t="shared" si="14"/>
        <v>-81.42857142857143</v>
      </c>
    </row>
    <row r="197" spans="1:11" s="21" customFormat="1" ht="13.5" customHeight="1">
      <c r="A197" s="11" t="s">
        <v>101</v>
      </c>
      <c r="B197" s="19" t="s">
        <v>33</v>
      </c>
      <c r="C197" s="19" t="s">
        <v>8</v>
      </c>
      <c r="D197" s="20" t="s">
        <v>35</v>
      </c>
      <c r="E197" s="17">
        <v>74000</v>
      </c>
      <c r="F197" s="16" t="s">
        <v>141</v>
      </c>
      <c r="G197" s="20"/>
      <c r="H197" s="9">
        <f t="shared" si="24"/>
        <v>35</v>
      </c>
      <c r="I197" s="9">
        <f t="shared" si="24"/>
        <v>6.5</v>
      </c>
      <c r="J197" s="9">
        <f t="shared" si="24"/>
        <v>-28.5</v>
      </c>
      <c r="K197" s="9">
        <f t="shared" si="14"/>
        <v>-81.42857142857143</v>
      </c>
    </row>
    <row r="198" spans="1:11" s="21" customFormat="1" ht="13.5" customHeight="1">
      <c r="A198" s="32" t="s">
        <v>185</v>
      </c>
      <c r="B198" s="19" t="s">
        <v>33</v>
      </c>
      <c r="C198" s="19" t="s">
        <v>8</v>
      </c>
      <c r="D198" s="20" t="s">
        <v>35</v>
      </c>
      <c r="E198" s="17">
        <v>74009</v>
      </c>
      <c r="F198" s="16" t="s">
        <v>141</v>
      </c>
      <c r="G198" s="20"/>
      <c r="H198" s="9">
        <f t="shared" si="24"/>
        <v>35</v>
      </c>
      <c r="I198" s="9">
        <f t="shared" si="24"/>
        <v>6.5</v>
      </c>
      <c r="J198" s="9">
        <f t="shared" si="24"/>
        <v>-28.5</v>
      </c>
      <c r="K198" s="9">
        <f t="shared" si="14"/>
        <v>-81.42857142857143</v>
      </c>
    </row>
    <row r="199" spans="1:11" s="21" customFormat="1" ht="25.5">
      <c r="A199" s="32" t="s">
        <v>186</v>
      </c>
      <c r="B199" s="19" t="s">
        <v>33</v>
      </c>
      <c r="C199" s="19" t="s">
        <v>8</v>
      </c>
      <c r="D199" s="20" t="s">
        <v>35</v>
      </c>
      <c r="E199" s="17">
        <v>74009</v>
      </c>
      <c r="F199" s="17">
        <v>99100</v>
      </c>
      <c r="G199" s="20"/>
      <c r="H199" s="9">
        <f t="shared" si="24"/>
        <v>35</v>
      </c>
      <c r="I199" s="9">
        <f t="shared" si="24"/>
        <v>6.5</v>
      </c>
      <c r="J199" s="9">
        <f t="shared" si="24"/>
        <v>-28.5</v>
      </c>
      <c r="K199" s="9">
        <f t="shared" si="14"/>
        <v>-81.42857142857143</v>
      </c>
    </row>
    <row r="200" spans="1:11" s="21" customFormat="1" ht="25.5">
      <c r="A200" s="11" t="s">
        <v>62</v>
      </c>
      <c r="B200" s="19" t="s">
        <v>33</v>
      </c>
      <c r="C200" s="19" t="s">
        <v>8</v>
      </c>
      <c r="D200" s="20" t="s">
        <v>35</v>
      </c>
      <c r="E200" s="17">
        <v>74009</v>
      </c>
      <c r="F200" s="17">
        <v>99100</v>
      </c>
      <c r="G200" s="20" t="s">
        <v>61</v>
      </c>
      <c r="H200" s="9">
        <f t="shared" si="24"/>
        <v>35</v>
      </c>
      <c r="I200" s="9">
        <f t="shared" si="24"/>
        <v>6.5</v>
      </c>
      <c r="J200" s="9">
        <f t="shared" si="24"/>
        <v>-28.5</v>
      </c>
      <c r="K200" s="9">
        <f t="shared" si="14"/>
        <v>-81.42857142857143</v>
      </c>
    </row>
    <row r="201" spans="1:11" s="21" customFormat="1" ht="25.5">
      <c r="A201" s="11" t="s">
        <v>63</v>
      </c>
      <c r="B201" s="19" t="s">
        <v>33</v>
      </c>
      <c r="C201" s="19" t="s">
        <v>8</v>
      </c>
      <c r="D201" s="20" t="s">
        <v>35</v>
      </c>
      <c r="E201" s="17">
        <v>74009</v>
      </c>
      <c r="F201" s="17">
        <v>99100</v>
      </c>
      <c r="G201" s="20" t="s">
        <v>17</v>
      </c>
      <c r="H201" s="9">
        <f>105-70</f>
        <v>35</v>
      </c>
      <c r="I201" s="9">
        <v>6.5</v>
      </c>
      <c r="J201" s="9">
        <f>I201-H201</f>
        <v>-28.5</v>
      </c>
      <c r="K201" s="9">
        <f t="shared" si="14"/>
        <v>-81.42857142857143</v>
      </c>
    </row>
    <row r="202" spans="1:11" s="21" customFormat="1" ht="12.75">
      <c r="A202" s="11" t="s">
        <v>26</v>
      </c>
      <c r="B202" s="19" t="s">
        <v>33</v>
      </c>
      <c r="C202" s="19" t="s">
        <v>4</v>
      </c>
      <c r="D202" s="20"/>
      <c r="E202" s="20"/>
      <c r="F202" s="20"/>
      <c r="G202" s="20"/>
      <c r="H202" s="9">
        <f>H203+H209+H237</f>
        <v>10758.6</v>
      </c>
      <c r="I202" s="9">
        <f>I203+I209+I237</f>
        <v>10415.6</v>
      </c>
      <c r="J202" s="9">
        <f>J203+J209+J237</f>
        <v>-343</v>
      </c>
      <c r="K202" s="9">
        <f aca="true" t="shared" si="25" ref="K202:K265">I202/H202*100-100</f>
        <v>-3.1881471566932618</v>
      </c>
    </row>
    <row r="203" spans="1:11" s="21" customFormat="1" ht="12.75">
      <c r="A203" s="33" t="s">
        <v>126</v>
      </c>
      <c r="B203" s="19" t="s">
        <v>33</v>
      </c>
      <c r="C203" s="19" t="s">
        <v>4</v>
      </c>
      <c r="D203" s="20" t="s">
        <v>1</v>
      </c>
      <c r="E203" s="20"/>
      <c r="F203" s="20"/>
      <c r="G203" s="20"/>
      <c r="H203" s="9">
        <f aca="true" t="shared" si="26" ref="H203:J207">H204</f>
        <v>618.8</v>
      </c>
      <c r="I203" s="9">
        <f t="shared" si="26"/>
        <v>609.4</v>
      </c>
      <c r="J203" s="9">
        <f t="shared" si="26"/>
        <v>-9.399999999999977</v>
      </c>
      <c r="K203" s="9">
        <f t="shared" si="25"/>
        <v>-1.5190691661279914</v>
      </c>
    </row>
    <row r="204" spans="1:11" s="21" customFormat="1" ht="41.25" customHeight="1">
      <c r="A204" s="11" t="s">
        <v>101</v>
      </c>
      <c r="B204" s="19" t="s">
        <v>33</v>
      </c>
      <c r="C204" s="19" t="s">
        <v>4</v>
      </c>
      <c r="D204" s="20" t="s">
        <v>1</v>
      </c>
      <c r="E204" s="17">
        <v>74000</v>
      </c>
      <c r="F204" s="16" t="s">
        <v>141</v>
      </c>
      <c r="G204" s="20"/>
      <c r="H204" s="9">
        <f t="shared" si="26"/>
        <v>618.8</v>
      </c>
      <c r="I204" s="9">
        <f t="shared" si="26"/>
        <v>609.4</v>
      </c>
      <c r="J204" s="9">
        <f t="shared" si="26"/>
        <v>-9.399999999999977</v>
      </c>
      <c r="K204" s="9">
        <f t="shared" si="25"/>
        <v>-1.5190691661279914</v>
      </c>
    </row>
    <row r="205" spans="1:11" s="21" customFormat="1" ht="51">
      <c r="A205" s="32" t="s">
        <v>187</v>
      </c>
      <c r="B205" s="19" t="s">
        <v>33</v>
      </c>
      <c r="C205" s="19" t="s">
        <v>4</v>
      </c>
      <c r="D205" s="20" t="s">
        <v>1</v>
      </c>
      <c r="E205" s="17">
        <v>74007</v>
      </c>
      <c r="F205" s="16" t="s">
        <v>141</v>
      </c>
      <c r="G205" s="20"/>
      <c r="H205" s="9">
        <f t="shared" si="26"/>
        <v>618.8</v>
      </c>
      <c r="I205" s="9">
        <f t="shared" si="26"/>
        <v>609.4</v>
      </c>
      <c r="J205" s="9">
        <f t="shared" si="26"/>
        <v>-9.399999999999977</v>
      </c>
      <c r="K205" s="9">
        <f t="shared" si="25"/>
        <v>-1.5190691661279914</v>
      </c>
    </row>
    <row r="206" spans="1:11" s="21" customFormat="1" ht="38.25">
      <c r="A206" s="32" t="s">
        <v>188</v>
      </c>
      <c r="B206" s="19" t="s">
        <v>33</v>
      </c>
      <c r="C206" s="19" t="s">
        <v>4</v>
      </c>
      <c r="D206" s="20" t="s">
        <v>1</v>
      </c>
      <c r="E206" s="17">
        <v>74007</v>
      </c>
      <c r="F206" s="17">
        <v>99080</v>
      </c>
      <c r="G206" s="20"/>
      <c r="H206" s="9">
        <f t="shared" si="26"/>
        <v>618.8</v>
      </c>
      <c r="I206" s="9">
        <f t="shared" si="26"/>
        <v>609.4</v>
      </c>
      <c r="J206" s="9">
        <f t="shared" si="26"/>
        <v>-9.399999999999977</v>
      </c>
      <c r="K206" s="9">
        <f t="shared" si="25"/>
        <v>-1.5190691661279914</v>
      </c>
    </row>
    <row r="207" spans="1:11" s="21" customFormat="1" ht="25.5">
      <c r="A207" s="11" t="s">
        <v>62</v>
      </c>
      <c r="B207" s="19" t="s">
        <v>33</v>
      </c>
      <c r="C207" s="19" t="s">
        <v>4</v>
      </c>
      <c r="D207" s="20" t="s">
        <v>1</v>
      </c>
      <c r="E207" s="17">
        <v>74007</v>
      </c>
      <c r="F207" s="17">
        <v>99080</v>
      </c>
      <c r="G207" s="20" t="s">
        <v>61</v>
      </c>
      <c r="H207" s="9">
        <f t="shared" si="26"/>
        <v>618.8</v>
      </c>
      <c r="I207" s="9">
        <f t="shared" si="26"/>
        <v>609.4</v>
      </c>
      <c r="J207" s="9">
        <f t="shared" si="26"/>
        <v>-9.399999999999977</v>
      </c>
      <c r="K207" s="9">
        <f t="shared" si="25"/>
        <v>-1.5190691661279914</v>
      </c>
    </row>
    <row r="208" spans="1:11" s="21" customFormat="1" ht="25.5">
      <c r="A208" s="11" t="s">
        <v>63</v>
      </c>
      <c r="B208" s="19" t="s">
        <v>33</v>
      </c>
      <c r="C208" s="19" t="s">
        <v>4</v>
      </c>
      <c r="D208" s="20" t="s">
        <v>1</v>
      </c>
      <c r="E208" s="17">
        <v>74007</v>
      </c>
      <c r="F208" s="17">
        <v>99080</v>
      </c>
      <c r="G208" s="20" t="s">
        <v>17</v>
      </c>
      <c r="H208" s="9">
        <f>321+7.4+2+249.4+39</f>
        <v>618.8</v>
      </c>
      <c r="I208" s="9">
        <v>609.4</v>
      </c>
      <c r="J208" s="9">
        <f>I208-H208</f>
        <v>-9.399999999999977</v>
      </c>
      <c r="K208" s="9">
        <f t="shared" si="25"/>
        <v>-1.5190691661279914</v>
      </c>
    </row>
    <row r="209" spans="1:11" s="21" customFormat="1" ht="12.75">
      <c r="A209" s="11" t="s">
        <v>96</v>
      </c>
      <c r="B209" s="19" t="s">
        <v>33</v>
      </c>
      <c r="C209" s="19" t="s">
        <v>4</v>
      </c>
      <c r="D209" s="20" t="s">
        <v>5</v>
      </c>
      <c r="E209" s="20"/>
      <c r="F209" s="20"/>
      <c r="G209" s="20"/>
      <c r="H209" s="9">
        <f>H210+H229</f>
        <v>6646.7</v>
      </c>
      <c r="I209" s="9">
        <f>I210+I229</f>
        <v>6313.200000000001</v>
      </c>
      <c r="J209" s="9">
        <f>J210+J229</f>
        <v>-333.5</v>
      </c>
      <c r="K209" s="9">
        <f t="shared" si="25"/>
        <v>-5.017527494847059</v>
      </c>
    </row>
    <row r="210" spans="1:11" s="21" customFormat="1" ht="38.25">
      <c r="A210" s="11" t="s">
        <v>102</v>
      </c>
      <c r="B210" s="19" t="s">
        <v>33</v>
      </c>
      <c r="C210" s="19" t="s">
        <v>4</v>
      </c>
      <c r="D210" s="20" t="s">
        <v>5</v>
      </c>
      <c r="E210" s="15">
        <v>75000</v>
      </c>
      <c r="F210" s="16" t="s">
        <v>141</v>
      </c>
      <c r="G210" s="20"/>
      <c r="H210" s="9">
        <f>H217+H211+H221+H225</f>
        <v>4221</v>
      </c>
      <c r="I210" s="9">
        <f>I217+I211+I221+I225</f>
        <v>3887.5000000000005</v>
      </c>
      <c r="J210" s="9">
        <f>J217+J211+J221+J225</f>
        <v>-333.5</v>
      </c>
      <c r="K210" s="9">
        <f t="shared" si="25"/>
        <v>-7.900971333807135</v>
      </c>
    </row>
    <row r="211" spans="1:11" s="21" customFormat="1" ht="15">
      <c r="A211" s="32" t="s">
        <v>189</v>
      </c>
      <c r="B211" s="19" t="s">
        <v>33</v>
      </c>
      <c r="C211" s="19" t="s">
        <v>4</v>
      </c>
      <c r="D211" s="20" t="s">
        <v>5</v>
      </c>
      <c r="E211" s="17">
        <v>75004</v>
      </c>
      <c r="F211" s="16" t="s">
        <v>141</v>
      </c>
      <c r="G211" s="20"/>
      <c r="H211" s="9">
        <f>H212</f>
        <v>1087.8</v>
      </c>
      <c r="I211" s="9">
        <f>I212</f>
        <v>754.3</v>
      </c>
      <c r="J211" s="9">
        <f>J212</f>
        <v>-333.5</v>
      </c>
      <c r="K211" s="9">
        <f t="shared" si="25"/>
        <v>-30.658209229637805</v>
      </c>
    </row>
    <row r="212" spans="1:11" s="21" customFormat="1" ht="12.75">
      <c r="A212" s="32" t="s">
        <v>114</v>
      </c>
      <c r="B212" s="19" t="s">
        <v>33</v>
      </c>
      <c r="C212" s="19" t="s">
        <v>4</v>
      </c>
      <c r="D212" s="20" t="s">
        <v>5</v>
      </c>
      <c r="E212" s="17">
        <v>75004</v>
      </c>
      <c r="F212" s="17">
        <v>99130</v>
      </c>
      <c r="G212" s="20"/>
      <c r="H212" s="9">
        <f>H213+H215</f>
        <v>1087.8</v>
      </c>
      <c r="I212" s="9">
        <f>I213+I215</f>
        <v>754.3</v>
      </c>
      <c r="J212" s="9">
        <f>J213+J215</f>
        <v>-333.5</v>
      </c>
      <c r="K212" s="9">
        <f t="shared" si="25"/>
        <v>-30.658209229637805</v>
      </c>
    </row>
    <row r="213" spans="1:11" s="21" customFormat="1" ht="14.25" customHeight="1">
      <c r="A213" s="11" t="s">
        <v>62</v>
      </c>
      <c r="B213" s="19" t="s">
        <v>33</v>
      </c>
      <c r="C213" s="19" t="s">
        <v>4</v>
      </c>
      <c r="D213" s="20" t="s">
        <v>5</v>
      </c>
      <c r="E213" s="17">
        <v>75004</v>
      </c>
      <c r="F213" s="17">
        <v>99130</v>
      </c>
      <c r="G213" s="20" t="s">
        <v>61</v>
      </c>
      <c r="H213" s="9">
        <f>H214</f>
        <v>977.8</v>
      </c>
      <c r="I213" s="9">
        <f>I214</f>
        <v>644.3</v>
      </c>
      <c r="J213" s="9">
        <f>J214</f>
        <v>-333.5</v>
      </c>
      <c r="K213" s="9">
        <f t="shared" si="25"/>
        <v>-34.10717938228677</v>
      </c>
    </row>
    <row r="214" spans="1:11" s="21" customFormat="1" ht="25.5">
      <c r="A214" s="11" t="s">
        <v>63</v>
      </c>
      <c r="B214" s="19" t="s">
        <v>33</v>
      </c>
      <c r="C214" s="19" t="s">
        <v>4</v>
      </c>
      <c r="D214" s="20" t="s">
        <v>5</v>
      </c>
      <c r="E214" s="17">
        <v>75004</v>
      </c>
      <c r="F214" s="17">
        <v>99130</v>
      </c>
      <c r="G214" s="20" t="s">
        <v>17</v>
      </c>
      <c r="H214" s="9">
        <f>1401.3-50-60-325.1+11.6</f>
        <v>977.8</v>
      </c>
      <c r="I214" s="9">
        <v>644.3</v>
      </c>
      <c r="J214" s="9">
        <f>I214-H214</f>
        <v>-333.5</v>
      </c>
      <c r="K214" s="9">
        <f t="shared" si="25"/>
        <v>-34.10717938228677</v>
      </c>
    </row>
    <row r="215" spans="1:11" s="21" customFormat="1" ht="12.75">
      <c r="A215" s="11" t="s">
        <v>66</v>
      </c>
      <c r="B215" s="19" t="s">
        <v>33</v>
      </c>
      <c r="C215" s="19" t="s">
        <v>4</v>
      </c>
      <c r="D215" s="20" t="s">
        <v>5</v>
      </c>
      <c r="E215" s="17">
        <v>75004</v>
      </c>
      <c r="F215" s="17">
        <v>99130</v>
      </c>
      <c r="G215" s="20" t="s">
        <v>64</v>
      </c>
      <c r="H215" s="9">
        <f>H216</f>
        <v>110</v>
      </c>
      <c r="I215" s="9">
        <f>I216</f>
        <v>110</v>
      </c>
      <c r="J215" s="9">
        <f>J216</f>
        <v>0</v>
      </c>
      <c r="K215" s="9">
        <f t="shared" si="25"/>
        <v>0</v>
      </c>
    </row>
    <row r="216" spans="1:11" s="21" customFormat="1" ht="25.5" customHeight="1">
      <c r="A216" s="11" t="s">
        <v>95</v>
      </c>
      <c r="B216" s="19" t="s">
        <v>33</v>
      </c>
      <c r="C216" s="19" t="s">
        <v>4</v>
      </c>
      <c r="D216" s="20" t="s">
        <v>5</v>
      </c>
      <c r="E216" s="17">
        <v>75004</v>
      </c>
      <c r="F216" s="17">
        <v>99130</v>
      </c>
      <c r="G216" s="20" t="s">
        <v>94</v>
      </c>
      <c r="H216" s="9">
        <f>50+60</f>
        <v>110</v>
      </c>
      <c r="I216" s="9">
        <f>50+60</f>
        <v>110</v>
      </c>
      <c r="J216" s="9">
        <f>I216-H216</f>
        <v>0</v>
      </c>
      <c r="K216" s="9">
        <f t="shared" si="25"/>
        <v>0</v>
      </c>
    </row>
    <row r="217" spans="1:11" s="21" customFormat="1" ht="15">
      <c r="A217" s="11" t="s">
        <v>190</v>
      </c>
      <c r="B217" s="19" t="s">
        <v>33</v>
      </c>
      <c r="C217" s="19" t="s">
        <v>4</v>
      </c>
      <c r="D217" s="20" t="s">
        <v>5</v>
      </c>
      <c r="E217" s="17">
        <v>75006</v>
      </c>
      <c r="F217" s="16" t="s">
        <v>141</v>
      </c>
      <c r="G217" s="20"/>
      <c r="H217" s="9">
        <f aca="true" t="shared" si="27" ref="H217:J219">H218</f>
        <v>2177</v>
      </c>
      <c r="I217" s="9">
        <f t="shared" si="27"/>
        <v>2177</v>
      </c>
      <c r="J217" s="9">
        <f t="shared" si="27"/>
        <v>0</v>
      </c>
      <c r="K217" s="9">
        <f t="shared" si="25"/>
        <v>0</v>
      </c>
    </row>
    <row r="218" spans="1:11" s="21" customFormat="1" ht="12.75">
      <c r="A218" s="11" t="s">
        <v>113</v>
      </c>
      <c r="B218" s="19" t="s">
        <v>33</v>
      </c>
      <c r="C218" s="19" t="s">
        <v>4</v>
      </c>
      <c r="D218" s="20" t="s">
        <v>5</v>
      </c>
      <c r="E218" s="17">
        <v>75006</v>
      </c>
      <c r="F218" s="17">
        <v>99110</v>
      </c>
      <c r="G218" s="20"/>
      <c r="H218" s="9">
        <f t="shared" si="27"/>
        <v>2177</v>
      </c>
      <c r="I218" s="9">
        <f t="shared" si="27"/>
        <v>2177</v>
      </c>
      <c r="J218" s="9">
        <f t="shared" si="27"/>
        <v>0</v>
      </c>
      <c r="K218" s="9">
        <f t="shared" si="25"/>
        <v>0</v>
      </c>
    </row>
    <row r="219" spans="1:11" s="21" customFormat="1" ht="12.75">
      <c r="A219" s="11" t="s">
        <v>66</v>
      </c>
      <c r="B219" s="19" t="s">
        <v>33</v>
      </c>
      <c r="C219" s="19" t="s">
        <v>4</v>
      </c>
      <c r="D219" s="20" t="s">
        <v>5</v>
      </c>
      <c r="E219" s="17">
        <v>75006</v>
      </c>
      <c r="F219" s="17">
        <v>99110</v>
      </c>
      <c r="G219" s="20" t="s">
        <v>64</v>
      </c>
      <c r="H219" s="9">
        <f t="shared" si="27"/>
        <v>2177</v>
      </c>
      <c r="I219" s="9">
        <f t="shared" si="27"/>
        <v>2177</v>
      </c>
      <c r="J219" s="9">
        <f t="shared" si="27"/>
        <v>0</v>
      </c>
      <c r="K219" s="9">
        <f t="shared" si="25"/>
        <v>0</v>
      </c>
    </row>
    <row r="220" spans="1:11" s="21" customFormat="1" ht="25.5" customHeight="1">
      <c r="A220" s="11" t="s">
        <v>95</v>
      </c>
      <c r="B220" s="19" t="s">
        <v>33</v>
      </c>
      <c r="C220" s="19" t="s">
        <v>4</v>
      </c>
      <c r="D220" s="20" t="s">
        <v>5</v>
      </c>
      <c r="E220" s="17">
        <v>75006</v>
      </c>
      <c r="F220" s="17">
        <v>99110</v>
      </c>
      <c r="G220" s="20" t="s">
        <v>94</v>
      </c>
      <c r="H220" s="9">
        <f>1782.4+60+214.6+20+100</f>
        <v>2177</v>
      </c>
      <c r="I220" s="9">
        <f>1782.4+60+214.6+20+100</f>
        <v>2177</v>
      </c>
      <c r="J220" s="9">
        <f>I220-H220</f>
        <v>0</v>
      </c>
      <c r="K220" s="9">
        <f t="shared" si="25"/>
        <v>0</v>
      </c>
    </row>
    <row r="221" spans="1:11" s="21" customFormat="1" ht="25.5">
      <c r="A221" s="11" t="s">
        <v>258</v>
      </c>
      <c r="B221" s="19" t="s">
        <v>33</v>
      </c>
      <c r="C221" s="19" t="s">
        <v>4</v>
      </c>
      <c r="D221" s="20" t="s">
        <v>5</v>
      </c>
      <c r="E221" s="17">
        <v>75009</v>
      </c>
      <c r="F221" s="16" t="s">
        <v>141</v>
      </c>
      <c r="G221" s="20"/>
      <c r="H221" s="9">
        <f aca="true" t="shared" si="28" ref="H221:J223">H222</f>
        <v>655.3000000000001</v>
      </c>
      <c r="I221" s="9">
        <f t="shared" si="28"/>
        <v>655.3000000000001</v>
      </c>
      <c r="J221" s="9">
        <f t="shared" si="28"/>
        <v>0</v>
      </c>
      <c r="K221" s="9">
        <f t="shared" si="25"/>
        <v>0</v>
      </c>
    </row>
    <row r="222" spans="1:11" s="21" customFormat="1" ht="12.75">
      <c r="A222" s="11" t="s">
        <v>259</v>
      </c>
      <c r="B222" s="19" t="s">
        <v>33</v>
      </c>
      <c r="C222" s="19" t="s">
        <v>4</v>
      </c>
      <c r="D222" s="20" t="s">
        <v>5</v>
      </c>
      <c r="E222" s="17">
        <v>75009</v>
      </c>
      <c r="F222" s="17">
        <v>99130</v>
      </c>
      <c r="G222" s="20"/>
      <c r="H222" s="9">
        <f t="shared" si="28"/>
        <v>655.3000000000001</v>
      </c>
      <c r="I222" s="9">
        <f t="shared" si="28"/>
        <v>655.3000000000001</v>
      </c>
      <c r="J222" s="9">
        <f t="shared" si="28"/>
        <v>0</v>
      </c>
      <c r="K222" s="9">
        <f t="shared" si="25"/>
        <v>0</v>
      </c>
    </row>
    <row r="223" spans="1:11" s="21" customFormat="1" ht="12.75">
      <c r="A223" s="11" t="s">
        <v>66</v>
      </c>
      <c r="B223" s="19" t="s">
        <v>33</v>
      </c>
      <c r="C223" s="19" t="s">
        <v>4</v>
      </c>
      <c r="D223" s="20" t="s">
        <v>5</v>
      </c>
      <c r="E223" s="17">
        <v>75009</v>
      </c>
      <c r="F223" s="17">
        <v>99130</v>
      </c>
      <c r="G223" s="20" t="s">
        <v>64</v>
      </c>
      <c r="H223" s="9">
        <f t="shared" si="28"/>
        <v>655.3000000000001</v>
      </c>
      <c r="I223" s="9">
        <f t="shared" si="28"/>
        <v>655.3000000000001</v>
      </c>
      <c r="J223" s="9">
        <f t="shared" si="28"/>
        <v>0</v>
      </c>
      <c r="K223" s="9">
        <f t="shared" si="25"/>
        <v>0</v>
      </c>
    </row>
    <row r="224" spans="1:11" s="21" customFormat="1" ht="25.5">
      <c r="A224" s="11" t="s">
        <v>95</v>
      </c>
      <c r="B224" s="19" t="s">
        <v>33</v>
      </c>
      <c r="C224" s="19" t="s">
        <v>4</v>
      </c>
      <c r="D224" s="20" t="s">
        <v>5</v>
      </c>
      <c r="E224" s="17">
        <v>75009</v>
      </c>
      <c r="F224" s="17">
        <v>99130</v>
      </c>
      <c r="G224" s="20" t="s">
        <v>94</v>
      </c>
      <c r="H224" s="9">
        <f>341.8+325.1-11.6</f>
        <v>655.3000000000001</v>
      </c>
      <c r="I224" s="9">
        <f>341.8+325.1-11.6</f>
        <v>655.3000000000001</v>
      </c>
      <c r="J224" s="9">
        <f>I224-H224</f>
        <v>0</v>
      </c>
      <c r="K224" s="9">
        <f t="shared" si="25"/>
        <v>0</v>
      </c>
    </row>
    <row r="225" spans="1:11" s="21" customFormat="1" ht="25.5">
      <c r="A225" s="11" t="s">
        <v>260</v>
      </c>
      <c r="B225" s="19" t="s">
        <v>33</v>
      </c>
      <c r="C225" s="19" t="s">
        <v>4</v>
      </c>
      <c r="D225" s="20" t="s">
        <v>5</v>
      </c>
      <c r="E225" s="17">
        <v>75012</v>
      </c>
      <c r="F225" s="16" t="s">
        <v>141</v>
      </c>
      <c r="G225" s="20"/>
      <c r="H225" s="9">
        <v>300.9</v>
      </c>
      <c r="I225" s="9">
        <f aca="true" t="shared" si="29" ref="I225:J227">I226</f>
        <v>300.9</v>
      </c>
      <c r="J225" s="9">
        <f t="shared" si="29"/>
        <v>0</v>
      </c>
      <c r="K225" s="9">
        <f t="shared" si="25"/>
        <v>0</v>
      </c>
    </row>
    <row r="226" spans="1:11" s="21" customFormat="1" ht="12.75">
      <c r="A226" s="11" t="s">
        <v>261</v>
      </c>
      <c r="B226" s="19" t="s">
        <v>33</v>
      </c>
      <c r="C226" s="19" t="s">
        <v>4</v>
      </c>
      <c r="D226" s="20" t="s">
        <v>5</v>
      </c>
      <c r="E226" s="17">
        <v>75012</v>
      </c>
      <c r="F226" s="17">
        <v>99110</v>
      </c>
      <c r="G226" s="20"/>
      <c r="H226" s="9">
        <v>300.9</v>
      </c>
      <c r="I226" s="9">
        <f t="shared" si="29"/>
        <v>300.9</v>
      </c>
      <c r="J226" s="9">
        <f t="shared" si="29"/>
        <v>0</v>
      </c>
      <c r="K226" s="9">
        <f t="shared" si="25"/>
        <v>0</v>
      </c>
    </row>
    <row r="227" spans="1:11" s="21" customFormat="1" ht="12.75">
      <c r="A227" s="11" t="s">
        <v>66</v>
      </c>
      <c r="B227" s="19" t="s">
        <v>33</v>
      </c>
      <c r="C227" s="19" t="s">
        <v>4</v>
      </c>
      <c r="D227" s="20" t="s">
        <v>5</v>
      </c>
      <c r="E227" s="17">
        <v>75012</v>
      </c>
      <c r="F227" s="17">
        <v>99110</v>
      </c>
      <c r="G227" s="20" t="s">
        <v>64</v>
      </c>
      <c r="H227" s="9">
        <v>300.9</v>
      </c>
      <c r="I227" s="9">
        <f t="shared" si="29"/>
        <v>300.9</v>
      </c>
      <c r="J227" s="9">
        <f t="shared" si="29"/>
        <v>0</v>
      </c>
      <c r="K227" s="9">
        <f t="shared" si="25"/>
        <v>0</v>
      </c>
    </row>
    <row r="228" spans="1:11" s="21" customFormat="1" ht="25.5">
      <c r="A228" s="11" t="s">
        <v>95</v>
      </c>
      <c r="B228" s="19" t="s">
        <v>33</v>
      </c>
      <c r="C228" s="19" t="s">
        <v>4</v>
      </c>
      <c r="D228" s="20" t="s">
        <v>5</v>
      </c>
      <c r="E228" s="17">
        <v>75012</v>
      </c>
      <c r="F228" s="17">
        <v>99110</v>
      </c>
      <c r="G228" s="20" t="s">
        <v>94</v>
      </c>
      <c r="H228" s="9">
        <v>300.9</v>
      </c>
      <c r="I228" s="9">
        <v>300.9</v>
      </c>
      <c r="J228" s="9">
        <f>I228-H228</f>
        <v>0</v>
      </c>
      <c r="K228" s="9">
        <f t="shared" si="25"/>
        <v>0</v>
      </c>
    </row>
    <row r="229" spans="1:11" s="21" customFormat="1" ht="15" customHeight="1">
      <c r="A229" s="11" t="s">
        <v>127</v>
      </c>
      <c r="B229" s="19" t="s">
        <v>33</v>
      </c>
      <c r="C229" s="19" t="s">
        <v>4</v>
      </c>
      <c r="D229" s="20" t="s">
        <v>5</v>
      </c>
      <c r="E229" s="15">
        <v>99000</v>
      </c>
      <c r="F229" s="16" t="s">
        <v>141</v>
      </c>
      <c r="G229" s="20"/>
      <c r="H229" s="9">
        <f>H230</f>
        <v>2425.7</v>
      </c>
      <c r="I229" s="9">
        <f>I230</f>
        <v>2425.7</v>
      </c>
      <c r="J229" s="9">
        <f>J230</f>
        <v>0</v>
      </c>
      <c r="K229" s="9">
        <f t="shared" si="25"/>
        <v>0</v>
      </c>
    </row>
    <row r="230" spans="1:11" s="21" customFormat="1" ht="15">
      <c r="A230" s="11" t="s">
        <v>130</v>
      </c>
      <c r="B230" s="19" t="s">
        <v>33</v>
      </c>
      <c r="C230" s="19" t="s">
        <v>4</v>
      </c>
      <c r="D230" s="20" t="s">
        <v>5</v>
      </c>
      <c r="E230" s="15">
        <v>99300</v>
      </c>
      <c r="F230" s="16" t="s">
        <v>141</v>
      </c>
      <c r="G230" s="20"/>
      <c r="H230" s="9">
        <f>H234+H231</f>
        <v>2425.7</v>
      </c>
      <c r="I230" s="9">
        <f>I234+I231</f>
        <v>2425.7</v>
      </c>
      <c r="J230" s="9">
        <f>J234+J231</f>
        <v>0</v>
      </c>
      <c r="K230" s="9">
        <f t="shared" si="25"/>
        <v>0</v>
      </c>
    </row>
    <row r="231" spans="1:11" s="21" customFormat="1" ht="15">
      <c r="A231" s="11" t="s">
        <v>262</v>
      </c>
      <c r="B231" s="19" t="s">
        <v>33</v>
      </c>
      <c r="C231" s="19" t="s">
        <v>4</v>
      </c>
      <c r="D231" s="20" t="s">
        <v>5</v>
      </c>
      <c r="E231" s="15">
        <v>99300</v>
      </c>
      <c r="F231" s="15">
        <v>99310</v>
      </c>
      <c r="G231" s="20"/>
      <c r="H231" s="9">
        <f aca="true" t="shared" si="30" ref="H231:J232">H232</f>
        <v>150</v>
      </c>
      <c r="I231" s="9">
        <f t="shared" si="30"/>
        <v>150</v>
      </c>
      <c r="J231" s="9">
        <f t="shared" si="30"/>
        <v>0</v>
      </c>
      <c r="K231" s="9">
        <f t="shared" si="25"/>
        <v>0</v>
      </c>
    </row>
    <row r="232" spans="1:11" s="21" customFormat="1" ht="15">
      <c r="A232" s="11" t="s">
        <v>66</v>
      </c>
      <c r="B232" s="19" t="s">
        <v>33</v>
      </c>
      <c r="C232" s="19" t="s">
        <v>4</v>
      </c>
      <c r="D232" s="20" t="s">
        <v>5</v>
      </c>
      <c r="E232" s="30">
        <v>99300</v>
      </c>
      <c r="F232" s="30">
        <v>99310</v>
      </c>
      <c r="G232" s="20" t="s">
        <v>64</v>
      </c>
      <c r="H232" s="9">
        <f t="shared" si="30"/>
        <v>150</v>
      </c>
      <c r="I232" s="9">
        <f t="shared" si="30"/>
        <v>150</v>
      </c>
      <c r="J232" s="9">
        <f t="shared" si="30"/>
        <v>0</v>
      </c>
      <c r="K232" s="9">
        <f t="shared" si="25"/>
        <v>0</v>
      </c>
    </row>
    <row r="233" spans="1:11" s="21" customFormat="1" ht="25.5">
      <c r="A233" s="11" t="s">
        <v>95</v>
      </c>
      <c r="B233" s="19" t="s">
        <v>33</v>
      </c>
      <c r="C233" s="19" t="s">
        <v>4</v>
      </c>
      <c r="D233" s="20" t="s">
        <v>5</v>
      </c>
      <c r="E233" s="30">
        <v>99300</v>
      </c>
      <c r="F233" s="30">
        <v>99310</v>
      </c>
      <c r="G233" s="20" t="s">
        <v>94</v>
      </c>
      <c r="H233" s="9">
        <v>150</v>
      </c>
      <c r="I233" s="9">
        <v>150</v>
      </c>
      <c r="J233" s="9">
        <f>I233-H233</f>
        <v>0</v>
      </c>
      <c r="K233" s="9">
        <f t="shared" si="25"/>
        <v>0</v>
      </c>
    </row>
    <row r="234" spans="1:11" s="21" customFormat="1" ht="15">
      <c r="A234" s="47" t="s">
        <v>263</v>
      </c>
      <c r="B234" s="19" t="s">
        <v>33</v>
      </c>
      <c r="C234" s="19" t="s">
        <v>4</v>
      </c>
      <c r="D234" s="20" t="s">
        <v>5</v>
      </c>
      <c r="E234" s="15">
        <v>99300</v>
      </c>
      <c r="F234" s="35" t="s">
        <v>183</v>
      </c>
      <c r="G234" s="20"/>
      <c r="H234" s="9">
        <f aca="true" t="shared" si="31" ref="H234:J235">H235</f>
        <v>2275.7</v>
      </c>
      <c r="I234" s="9">
        <f t="shared" si="31"/>
        <v>2275.7</v>
      </c>
      <c r="J234" s="9">
        <f t="shared" si="31"/>
        <v>0</v>
      </c>
      <c r="K234" s="9">
        <f t="shared" si="25"/>
        <v>0</v>
      </c>
    </row>
    <row r="235" spans="1:11" s="21" customFormat="1" ht="25.5" customHeight="1">
      <c r="A235" s="11" t="s">
        <v>62</v>
      </c>
      <c r="B235" s="19" t="s">
        <v>33</v>
      </c>
      <c r="C235" s="19" t="s">
        <v>4</v>
      </c>
      <c r="D235" s="20" t="s">
        <v>5</v>
      </c>
      <c r="E235" s="15">
        <v>99300</v>
      </c>
      <c r="F235" s="35" t="s">
        <v>183</v>
      </c>
      <c r="G235" s="20" t="s">
        <v>61</v>
      </c>
      <c r="H235" s="9">
        <f t="shared" si="31"/>
        <v>2275.7</v>
      </c>
      <c r="I235" s="9">
        <f t="shared" si="31"/>
        <v>2275.7</v>
      </c>
      <c r="J235" s="9">
        <f t="shared" si="31"/>
        <v>0</v>
      </c>
      <c r="K235" s="9">
        <f t="shared" si="25"/>
        <v>0</v>
      </c>
    </row>
    <row r="236" spans="1:11" s="21" customFormat="1" ht="25.5">
      <c r="A236" s="11" t="s">
        <v>63</v>
      </c>
      <c r="B236" s="19" t="s">
        <v>33</v>
      </c>
      <c r="C236" s="19" t="s">
        <v>4</v>
      </c>
      <c r="D236" s="20" t="s">
        <v>5</v>
      </c>
      <c r="E236" s="15">
        <v>99300</v>
      </c>
      <c r="F236" s="35" t="s">
        <v>183</v>
      </c>
      <c r="G236" s="20" t="s">
        <v>17</v>
      </c>
      <c r="H236" s="9">
        <f>2280-4.3</f>
        <v>2275.7</v>
      </c>
      <c r="I236" s="9">
        <f>2280-4.3</f>
        <v>2275.7</v>
      </c>
      <c r="J236" s="9">
        <f>I236-H236</f>
        <v>0</v>
      </c>
      <c r="K236" s="9">
        <f t="shared" si="25"/>
        <v>0</v>
      </c>
    </row>
    <row r="237" spans="1:11" s="21" customFormat="1" ht="25.5" customHeight="1">
      <c r="A237" s="11" t="s">
        <v>30</v>
      </c>
      <c r="B237" s="19" t="s">
        <v>33</v>
      </c>
      <c r="C237" s="19" t="s">
        <v>4</v>
      </c>
      <c r="D237" s="20" t="s">
        <v>4</v>
      </c>
      <c r="E237" s="20"/>
      <c r="F237" s="20"/>
      <c r="G237" s="20"/>
      <c r="H237" s="9">
        <f>H238+H251</f>
        <v>3493.1</v>
      </c>
      <c r="I237" s="9">
        <f>I238+I251</f>
        <v>3493</v>
      </c>
      <c r="J237" s="9">
        <f>J238+J251</f>
        <v>-0.10000000000000009</v>
      </c>
      <c r="K237" s="9">
        <f t="shared" si="25"/>
        <v>-0.0028627866364985266</v>
      </c>
    </row>
    <row r="238" spans="1:11" s="21" customFormat="1" ht="38.25">
      <c r="A238" s="11" t="s">
        <v>102</v>
      </c>
      <c r="B238" s="19" t="s">
        <v>33</v>
      </c>
      <c r="C238" s="19" t="s">
        <v>4</v>
      </c>
      <c r="D238" s="20" t="s">
        <v>4</v>
      </c>
      <c r="E238" s="15">
        <v>75000</v>
      </c>
      <c r="F238" s="16" t="s">
        <v>141</v>
      </c>
      <c r="G238" s="20"/>
      <c r="H238" s="9">
        <f>H239+H247</f>
        <v>3458.1</v>
      </c>
      <c r="I238" s="9">
        <f>I239+I247</f>
        <v>3458</v>
      </c>
      <c r="J238" s="9">
        <f>J239+J247</f>
        <v>-0.10000000000000009</v>
      </c>
      <c r="K238" s="9">
        <f t="shared" si="25"/>
        <v>-0.0028917613718419943</v>
      </c>
    </row>
    <row r="239" spans="1:11" s="21" customFormat="1" ht="25.5">
      <c r="A239" s="11" t="s">
        <v>191</v>
      </c>
      <c r="B239" s="19" t="s">
        <v>33</v>
      </c>
      <c r="C239" s="19" t="s">
        <v>4</v>
      </c>
      <c r="D239" s="20" t="s">
        <v>4</v>
      </c>
      <c r="E239" s="17">
        <v>75005</v>
      </c>
      <c r="F239" s="16" t="s">
        <v>141</v>
      </c>
      <c r="G239" s="20"/>
      <c r="H239" s="9">
        <f>H240</f>
        <v>1716.6</v>
      </c>
      <c r="I239" s="9">
        <f>I240</f>
        <v>1716.4999999999998</v>
      </c>
      <c r="J239" s="9">
        <f>J240</f>
        <v>-0.10000000000000009</v>
      </c>
      <c r="K239" s="9">
        <f t="shared" si="25"/>
        <v>-0.005825468950263257</v>
      </c>
    </row>
    <row r="240" spans="1:11" s="10" customFormat="1" ht="12.75">
      <c r="A240" s="11" t="s">
        <v>192</v>
      </c>
      <c r="B240" s="19" t="s">
        <v>33</v>
      </c>
      <c r="C240" s="19" t="s">
        <v>4</v>
      </c>
      <c r="D240" s="20" t="s">
        <v>4</v>
      </c>
      <c r="E240" s="17">
        <v>75005</v>
      </c>
      <c r="F240" s="18" t="s">
        <v>170</v>
      </c>
      <c r="G240" s="20"/>
      <c r="H240" s="9">
        <f>H241+H243+H245</f>
        <v>1716.6</v>
      </c>
      <c r="I240" s="9">
        <f>I241+I243+I245</f>
        <v>1716.4999999999998</v>
      </c>
      <c r="J240" s="9">
        <f>J241+J243+J245</f>
        <v>-0.10000000000000009</v>
      </c>
      <c r="K240" s="9">
        <f t="shared" si="25"/>
        <v>-0.005825468950263257</v>
      </c>
    </row>
    <row r="241" spans="1:11" s="21" customFormat="1" ht="51">
      <c r="A241" s="11" t="s">
        <v>58</v>
      </c>
      <c r="B241" s="19" t="s">
        <v>33</v>
      </c>
      <c r="C241" s="19" t="s">
        <v>4</v>
      </c>
      <c r="D241" s="20" t="s">
        <v>4</v>
      </c>
      <c r="E241" s="17">
        <v>75005</v>
      </c>
      <c r="F241" s="18" t="s">
        <v>170</v>
      </c>
      <c r="G241" s="20" t="s">
        <v>57</v>
      </c>
      <c r="H241" s="9">
        <f>H242</f>
        <v>1651.6</v>
      </c>
      <c r="I241" s="9">
        <f>I242</f>
        <v>1651.6</v>
      </c>
      <c r="J241" s="9">
        <f>J242</f>
        <v>0</v>
      </c>
      <c r="K241" s="9">
        <f t="shared" si="25"/>
        <v>0</v>
      </c>
    </row>
    <row r="242" spans="1:11" s="21" customFormat="1" ht="37.5" customHeight="1">
      <c r="A242" s="31" t="s">
        <v>77</v>
      </c>
      <c r="B242" s="19" t="s">
        <v>33</v>
      </c>
      <c r="C242" s="19" t="s">
        <v>4</v>
      </c>
      <c r="D242" s="20" t="s">
        <v>4</v>
      </c>
      <c r="E242" s="17">
        <v>75005</v>
      </c>
      <c r="F242" s="18" t="s">
        <v>170</v>
      </c>
      <c r="G242" s="20" t="s">
        <v>76</v>
      </c>
      <c r="H242" s="9">
        <v>1651.6</v>
      </c>
      <c r="I242" s="9">
        <v>1651.6</v>
      </c>
      <c r="J242" s="9">
        <f>I242-H242</f>
        <v>0</v>
      </c>
      <c r="K242" s="9">
        <f t="shared" si="25"/>
        <v>0</v>
      </c>
    </row>
    <row r="243" spans="1:11" s="21" customFormat="1" ht="25.5" customHeight="1">
      <c r="A243" s="11" t="s">
        <v>62</v>
      </c>
      <c r="B243" s="19" t="s">
        <v>33</v>
      </c>
      <c r="C243" s="19" t="s">
        <v>4</v>
      </c>
      <c r="D243" s="20" t="s">
        <v>4</v>
      </c>
      <c r="E243" s="17">
        <v>75005</v>
      </c>
      <c r="F243" s="18" t="s">
        <v>170</v>
      </c>
      <c r="G243" s="20" t="s">
        <v>61</v>
      </c>
      <c r="H243" s="9">
        <f>H244</f>
        <v>2.9</v>
      </c>
      <c r="I243" s="9">
        <f>I244</f>
        <v>2.8</v>
      </c>
      <c r="J243" s="9">
        <f>J244</f>
        <v>-0.10000000000000009</v>
      </c>
      <c r="K243" s="9">
        <f t="shared" si="25"/>
        <v>-3.448275862068968</v>
      </c>
    </row>
    <row r="244" spans="1:11" s="21" customFormat="1" ht="25.5">
      <c r="A244" s="11" t="s">
        <v>63</v>
      </c>
      <c r="B244" s="19" t="s">
        <v>33</v>
      </c>
      <c r="C244" s="19" t="s">
        <v>4</v>
      </c>
      <c r="D244" s="20" t="s">
        <v>4</v>
      </c>
      <c r="E244" s="17">
        <v>75005</v>
      </c>
      <c r="F244" s="18" t="s">
        <v>170</v>
      </c>
      <c r="G244" s="20" t="s">
        <v>17</v>
      </c>
      <c r="H244" s="9">
        <v>2.9</v>
      </c>
      <c r="I244" s="9">
        <v>2.8</v>
      </c>
      <c r="J244" s="9">
        <f>I244-H244</f>
        <v>-0.10000000000000009</v>
      </c>
      <c r="K244" s="9">
        <f t="shared" si="25"/>
        <v>-3.448275862068968</v>
      </c>
    </row>
    <row r="245" spans="1:11" s="21" customFormat="1" ht="12.75">
      <c r="A245" s="11" t="s">
        <v>66</v>
      </c>
      <c r="B245" s="20" t="s">
        <v>33</v>
      </c>
      <c r="C245" s="20" t="s">
        <v>4</v>
      </c>
      <c r="D245" s="20" t="s">
        <v>4</v>
      </c>
      <c r="E245" s="17">
        <v>75005</v>
      </c>
      <c r="F245" s="18" t="s">
        <v>170</v>
      </c>
      <c r="G245" s="20" t="s">
        <v>64</v>
      </c>
      <c r="H245" s="9">
        <f>H246</f>
        <v>62.099999999999994</v>
      </c>
      <c r="I245" s="9">
        <f>I246</f>
        <v>62.099999999999994</v>
      </c>
      <c r="J245" s="9">
        <f>J246</f>
        <v>0</v>
      </c>
      <c r="K245" s="9">
        <f t="shared" si="25"/>
        <v>0</v>
      </c>
    </row>
    <row r="246" spans="1:11" s="21" customFormat="1" ht="12.75">
      <c r="A246" s="11" t="s">
        <v>67</v>
      </c>
      <c r="B246" s="19" t="s">
        <v>33</v>
      </c>
      <c r="C246" s="19" t="s">
        <v>4</v>
      </c>
      <c r="D246" s="20" t="s">
        <v>4</v>
      </c>
      <c r="E246" s="17">
        <v>75005</v>
      </c>
      <c r="F246" s="18" t="s">
        <v>170</v>
      </c>
      <c r="G246" s="20" t="s">
        <v>65</v>
      </c>
      <c r="H246" s="9">
        <f>148.1+1-34-6-23.3-23.7</f>
        <v>62.099999999999994</v>
      </c>
      <c r="I246" s="9">
        <f>148.1+1-34-6-23.3-23.7</f>
        <v>62.099999999999994</v>
      </c>
      <c r="J246" s="9">
        <f>I246-H246</f>
        <v>0</v>
      </c>
      <c r="K246" s="9">
        <f t="shared" si="25"/>
        <v>0</v>
      </c>
    </row>
    <row r="247" spans="1:11" s="21" customFormat="1" ht="15">
      <c r="A247" s="11" t="s">
        <v>264</v>
      </c>
      <c r="B247" s="20" t="s">
        <v>33</v>
      </c>
      <c r="C247" s="20" t="s">
        <v>4</v>
      </c>
      <c r="D247" s="20" t="s">
        <v>4</v>
      </c>
      <c r="E247" s="17">
        <v>75013</v>
      </c>
      <c r="F247" s="16" t="s">
        <v>141</v>
      </c>
      <c r="G247" s="20"/>
      <c r="H247" s="9">
        <f aca="true" t="shared" si="32" ref="H247:J249">H248</f>
        <v>1741.5</v>
      </c>
      <c r="I247" s="9">
        <f t="shared" si="32"/>
        <v>1741.5</v>
      </c>
      <c r="J247" s="9">
        <f t="shared" si="32"/>
        <v>0</v>
      </c>
      <c r="K247" s="9">
        <f t="shared" si="25"/>
        <v>0</v>
      </c>
    </row>
    <row r="248" spans="1:11" s="21" customFormat="1" ht="12.75">
      <c r="A248" s="11" t="s">
        <v>265</v>
      </c>
      <c r="B248" s="20" t="s">
        <v>33</v>
      </c>
      <c r="C248" s="20" t="s">
        <v>4</v>
      </c>
      <c r="D248" s="20" t="s">
        <v>4</v>
      </c>
      <c r="E248" s="17">
        <v>75013</v>
      </c>
      <c r="F248" s="18" t="s">
        <v>266</v>
      </c>
      <c r="G248" s="20"/>
      <c r="H248" s="9">
        <f t="shared" si="32"/>
        <v>1741.5</v>
      </c>
      <c r="I248" s="9">
        <f t="shared" si="32"/>
        <v>1741.5</v>
      </c>
      <c r="J248" s="9">
        <f t="shared" si="32"/>
        <v>0</v>
      </c>
      <c r="K248" s="9">
        <f t="shared" si="25"/>
        <v>0</v>
      </c>
    </row>
    <row r="249" spans="1:11" s="21" customFormat="1" ht="12.75">
      <c r="A249" s="11" t="s">
        <v>66</v>
      </c>
      <c r="B249" s="20" t="s">
        <v>33</v>
      </c>
      <c r="C249" s="20" t="s">
        <v>4</v>
      </c>
      <c r="D249" s="20" t="s">
        <v>4</v>
      </c>
      <c r="E249" s="17">
        <v>75013</v>
      </c>
      <c r="F249" s="18" t="s">
        <v>266</v>
      </c>
      <c r="G249" s="20" t="s">
        <v>64</v>
      </c>
      <c r="H249" s="9">
        <f t="shared" si="32"/>
        <v>1741.5</v>
      </c>
      <c r="I249" s="9">
        <f t="shared" si="32"/>
        <v>1741.5</v>
      </c>
      <c r="J249" s="9">
        <f t="shared" si="32"/>
        <v>0</v>
      </c>
      <c r="K249" s="9">
        <f t="shared" si="25"/>
        <v>0</v>
      </c>
    </row>
    <row r="250" spans="1:11" s="21" customFormat="1" ht="25.5">
      <c r="A250" s="11" t="s">
        <v>95</v>
      </c>
      <c r="B250" s="20" t="s">
        <v>33</v>
      </c>
      <c r="C250" s="20" t="s">
        <v>4</v>
      </c>
      <c r="D250" s="20" t="s">
        <v>4</v>
      </c>
      <c r="E250" s="17">
        <v>75013</v>
      </c>
      <c r="F250" s="18" t="s">
        <v>266</v>
      </c>
      <c r="G250" s="20" t="s">
        <v>94</v>
      </c>
      <c r="H250" s="9">
        <v>1741.5</v>
      </c>
      <c r="I250" s="9">
        <v>1741.5</v>
      </c>
      <c r="J250" s="9">
        <f>I250-H250</f>
        <v>0</v>
      </c>
      <c r="K250" s="9">
        <f t="shared" si="25"/>
        <v>0</v>
      </c>
    </row>
    <row r="251" spans="1:11" s="21" customFormat="1" ht="15">
      <c r="A251" s="11" t="s">
        <v>127</v>
      </c>
      <c r="B251" s="20" t="s">
        <v>33</v>
      </c>
      <c r="C251" s="20" t="s">
        <v>4</v>
      </c>
      <c r="D251" s="20" t="s">
        <v>4</v>
      </c>
      <c r="E251" s="18" t="s">
        <v>267</v>
      </c>
      <c r="F251" s="16" t="s">
        <v>141</v>
      </c>
      <c r="G251" s="20"/>
      <c r="H251" s="9">
        <f aca="true" t="shared" si="33" ref="H251:J254">H252</f>
        <v>35</v>
      </c>
      <c r="I251" s="9">
        <f t="shared" si="33"/>
        <v>35</v>
      </c>
      <c r="J251" s="9">
        <f t="shared" si="33"/>
        <v>0</v>
      </c>
      <c r="K251" s="9">
        <f t="shared" si="25"/>
        <v>0</v>
      </c>
    </row>
    <row r="252" spans="1:11" s="21" customFormat="1" ht="15">
      <c r="A252" s="11" t="s">
        <v>130</v>
      </c>
      <c r="B252" s="20" t="s">
        <v>33</v>
      </c>
      <c r="C252" s="20" t="s">
        <v>4</v>
      </c>
      <c r="D252" s="20" t="s">
        <v>4</v>
      </c>
      <c r="E252" s="18" t="s">
        <v>268</v>
      </c>
      <c r="F252" s="16" t="s">
        <v>141</v>
      </c>
      <c r="G252" s="20"/>
      <c r="H252" s="9">
        <f t="shared" si="33"/>
        <v>35</v>
      </c>
      <c r="I252" s="9">
        <f t="shared" si="33"/>
        <v>35</v>
      </c>
      <c r="J252" s="9">
        <f t="shared" si="33"/>
        <v>0</v>
      </c>
      <c r="K252" s="9">
        <f t="shared" si="25"/>
        <v>0</v>
      </c>
    </row>
    <row r="253" spans="1:11" s="21" customFormat="1" ht="38.25">
      <c r="A253" s="11" t="s">
        <v>269</v>
      </c>
      <c r="B253" s="20" t="s">
        <v>33</v>
      </c>
      <c r="C253" s="20" t="s">
        <v>4</v>
      </c>
      <c r="D253" s="20" t="s">
        <v>4</v>
      </c>
      <c r="E253" s="18" t="s">
        <v>268</v>
      </c>
      <c r="F253" s="18" t="s">
        <v>266</v>
      </c>
      <c r="G253" s="20"/>
      <c r="H253" s="9">
        <f t="shared" si="33"/>
        <v>35</v>
      </c>
      <c r="I253" s="9">
        <f t="shared" si="33"/>
        <v>35</v>
      </c>
      <c r="J253" s="9">
        <f t="shared" si="33"/>
        <v>0</v>
      </c>
      <c r="K253" s="9">
        <f t="shared" si="25"/>
        <v>0</v>
      </c>
    </row>
    <row r="254" spans="1:11" s="21" customFormat="1" ht="14.25" customHeight="1">
      <c r="A254" s="11" t="s">
        <v>62</v>
      </c>
      <c r="B254" s="20" t="s">
        <v>33</v>
      </c>
      <c r="C254" s="20" t="s">
        <v>4</v>
      </c>
      <c r="D254" s="20" t="s">
        <v>4</v>
      </c>
      <c r="E254" s="18" t="s">
        <v>268</v>
      </c>
      <c r="F254" s="18" t="s">
        <v>266</v>
      </c>
      <c r="G254" s="20" t="s">
        <v>61</v>
      </c>
      <c r="H254" s="9">
        <f t="shared" si="33"/>
        <v>35</v>
      </c>
      <c r="I254" s="9">
        <f t="shared" si="33"/>
        <v>35</v>
      </c>
      <c r="J254" s="9">
        <f t="shared" si="33"/>
        <v>0</v>
      </c>
      <c r="K254" s="9">
        <f t="shared" si="25"/>
        <v>0</v>
      </c>
    </row>
    <row r="255" spans="1:11" s="21" customFormat="1" ht="25.5">
      <c r="A255" s="11" t="s">
        <v>63</v>
      </c>
      <c r="B255" s="20" t="s">
        <v>33</v>
      </c>
      <c r="C255" s="20" t="s">
        <v>4</v>
      </c>
      <c r="D255" s="20" t="s">
        <v>4</v>
      </c>
      <c r="E255" s="18" t="s">
        <v>268</v>
      </c>
      <c r="F255" s="18" t="s">
        <v>266</v>
      </c>
      <c r="G255" s="20" t="s">
        <v>17</v>
      </c>
      <c r="H255" s="9">
        <v>35</v>
      </c>
      <c r="I255" s="9">
        <v>35</v>
      </c>
      <c r="J255" s="9">
        <f>I255-H255</f>
        <v>0</v>
      </c>
      <c r="K255" s="9">
        <f t="shared" si="25"/>
        <v>0</v>
      </c>
    </row>
    <row r="256" spans="1:11" s="21" customFormat="1" ht="12.75">
      <c r="A256" s="11" t="s">
        <v>51</v>
      </c>
      <c r="B256" s="19" t="s">
        <v>33</v>
      </c>
      <c r="C256" s="19" t="s">
        <v>16</v>
      </c>
      <c r="D256" s="20"/>
      <c r="E256" s="20"/>
      <c r="F256" s="20"/>
      <c r="G256" s="20"/>
      <c r="H256" s="9">
        <f aca="true" t="shared" si="34" ref="H256:J261">H257</f>
        <v>40</v>
      </c>
      <c r="I256" s="9">
        <f t="shared" si="34"/>
        <v>40</v>
      </c>
      <c r="J256" s="9">
        <f t="shared" si="34"/>
        <v>0</v>
      </c>
      <c r="K256" s="9">
        <f t="shared" si="25"/>
        <v>0</v>
      </c>
    </row>
    <row r="257" spans="1:11" s="21" customFormat="1" ht="12.75">
      <c r="A257" s="11" t="s">
        <v>39</v>
      </c>
      <c r="B257" s="19" t="s">
        <v>33</v>
      </c>
      <c r="C257" s="19" t="s">
        <v>16</v>
      </c>
      <c r="D257" s="20" t="s">
        <v>7</v>
      </c>
      <c r="E257" s="20"/>
      <c r="F257" s="20"/>
      <c r="G257" s="20"/>
      <c r="H257" s="9">
        <f t="shared" si="34"/>
        <v>40</v>
      </c>
      <c r="I257" s="9">
        <f t="shared" si="34"/>
        <v>40</v>
      </c>
      <c r="J257" s="9">
        <f t="shared" si="34"/>
        <v>0</v>
      </c>
      <c r="K257" s="9">
        <f t="shared" si="25"/>
        <v>0</v>
      </c>
    </row>
    <row r="258" spans="1:11" s="21" customFormat="1" ht="25.5">
      <c r="A258" s="11" t="s">
        <v>100</v>
      </c>
      <c r="B258" s="19" t="s">
        <v>33</v>
      </c>
      <c r="C258" s="19" t="s">
        <v>16</v>
      </c>
      <c r="D258" s="20" t="s">
        <v>7</v>
      </c>
      <c r="E258" s="17">
        <v>73000</v>
      </c>
      <c r="F258" s="16" t="s">
        <v>141</v>
      </c>
      <c r="G258" s="20"/>
      <c r="H258" s="9">
        <f t="shared" si="34"/>
        <v>40</v>
      </c>
      <c r="I258" s="9">
        <f t="shared" si="34"/>
        <v>40</v>
      </c>
      <c r="J258" s="9">
        <f t="shared" si="34"/>
        <v>0</v>
      </c>
      <c r="K258" s="9">
        <f t="shared" si="25"/>
        <v>0</v>
      </c>
    </row>
    <row r="259" spans="1:11" s="21" customFormat="1" ht="25.5">
      <c r="A259" s="32" t="s">
        <v>193</v>
      </c>
      <c r="B259" s="19" t="s">
        <v>33</v>
      </c>
      <c r="C259" s="19" t="s">
        <v>16</v>
      </c>
      <c r="D259" s="20" t="s">
        <v>7</v>
      </c>
      <c r="E259" s="17">
        <v>73009</v>
      </c>
      <c r="F259" s="16" t="s">
        <v>141</v>
      </c>
      <c r="G259" s="20"/>
      <c r="H259" s="9">
        <f t="shared" si="34"/>
        <v>40</v>
      </c>
      <c r="I259" s="9">
        <f t="shared" si="34"/>
        <v>40</v>
      </c>
      <c r="J259" s="9">
        <f t="shared" si="34"/>
        <v>0</v>
      </c>
      <c r="K259" s="9">
        <f t="shared" si="25"/>
        <v>0</v>
      </c>
    </row>
    <row r="260" spans="1:11" s="21" customFormat="1" ht="12.75">
      <c r="A260" s="32" t="s">
        <v>115</v>
      </c>
      <c r="B260" s="19" t="s">
        <v>33</v>
      </c>
      <c r="C260" s="19" t="s">
        <v>16</v>
      </c>
      <c r="D260" s="20" t="s">
        <v>7</v>
      </c>
      <c r="E260" s="17">
        <v>73009</v>
      </c>
      <c r="F260" s="17">
        <v>99030</v>
      </c>
      <c r="G260" s="20"/>
      <c r="H260" s="9">
        <f t="shared" si="34"/>
        <v>40</v>
      </c>
      <c r="I260" s="9">
        <f t="shared" si="34"/>
        <v>40</v>
      </c>
      <c r="J260" s="9">
        <f t="shared" si="34"/>
        <v>0</v>
      </c>
      <c r="K260" s="9">
        <f t="shared" si="25"/>
        <v>0</v>
      </c>
    </row>
    <row r="261" spans="1:11" s="21" customFormat="1" ht="25.5">
      <c r="A261" s="11" t="s">
        <v>62</v>
      </c>
      <c r="B261" s="19" t="s">
        <v>33</v>
      </c>
      <c r="C261" s="19" t="s">
        <v>16</v>
      </c>
      <c r="D261" s="20" t="s">
        <v>7</v>
      </c>
      <c r="E261" s="17">
        <v>73009</v>
      </c>
      <c r="F261" s="17">
        <v>99030</v>
      </c>
      <c r="G261" s="20" t="s">
        <v>61</v>
      </c>
      <c r="H261" s="9">
        <f t="shared" si="34"/>
        <v>40</v>
      </c>
      <c r="I261" s="9">
        <f t="shared" si="34"/>
        <v>40</v>
      </c>
      <c r="J261" s="9">
        <f t="shared" si="34"/>
        <v>0</v>
      </c>
      <c r="K261" s="9">
        <f t="shared" si="25"/>
        <v>0</v>
      </c>
    </row>
    <row r="262" spans="1:11" s="21" customFormat="1" ht="25.5">
      <c r="A262" s="11" t="s">
        <v>63</v>
      </c>
      <c r="B262" s="19" t="s">
        <v>33</v>
      </c>
      <c r="C262" s="19" t="s">
        <v>16</v>
      </c>
      <c r="D262" s="20" t="s">
        <v>7</v>
      </c>
      <c r="E262" s="17">
        <v>73009</v>
      </c>
      <c r="F262" s="17">
        <v>99030</v>
      </c>
      <c r="G262" s="20" t="s">
        <v>17</v>
      </c>
      <c r="H262" s="9">
        <f>45-5</f>
        <v>40</v>
      </c>
      <c r="I262" s="9">
        <f>45-5</f>
        <v>40</v>
      </c>
      <c r="J262" s="9">
        <f>I262-H262</f>
        <v>0</v>
      </c>
      <c r="K262" s="9">
        <f t="shared" si="25"/>
        <v>0</v>
      </c>
    </row>
    <row r="263" spans="1:11" s="21" customFormat="1" ht="12.75">
      <c r="A263" s="11" t="s">
        <v>24</v>
      </c>
      <c r="B263" s="19" t="s">
        <v>33</v>
      </c>
      <c r="C263" s="19" t="s">
        <v>12</v>
      </c>
      <c r="D263" s="20"/>
      <c r="E263" s="20"/>
      <c r="F263" s="20"/>
      <c r="G263" s="20"/>
      <c r="H263" s="9">
        <f>H264+H270+H288</f>
        <v>3155.7</v>
      </c>
      <c r="I263" s="9">
        <f>I264+I270+I288</f>
        <v>3097.2999999999997</v>
      </c>
      <c r="J263" s="9">
        <f>J264+J270+J288</f>
        <v>-58.399999999999906</v>
      </c>
      <c r="K263" s="9">
        <f t="shared" si="25"/>
        <v>-1.850619513895495</v>
      </c>
    </row>
    <row r="264" spans="1:11" s="21" customFormat="1" ht="12.75">
      <c r="A264" s="11" t="s">
        <v>31</v>
      </c>
      <c r="B264" s="19" t="s">
        <v>33</v>
      </c>
      <c r="C264" s="19" t="s">
        <v>12</v>
      </c>
      <c r="D264" s="20" t="s">
        <v>1</v>
      </c>
      <c r="E264" s="20"/>
      <c r="F264" s="20"/>
      <c r="G264" s="20"/>
      <c r="H264" s="9">
        <f aca="true" t="shared" si="35" ref="H264:J268">H265</f>
        <v>976.1</v>
      </c>
      <c r="I264" s="9">
        <f t="shared" si="35"/>
        <v>976.1</v>
      </c>
      <c r="J264" s="9">
        <f t="shared" si="35"/>
        <v>0</v>
      </c>
      <c r="K264" s="9">
        <f t="shared" si="25"/>
        <v>0</v>
      </c>
    </row>
    <row r="265" spans="1:11" s="21" customFormat="1" ht="25.5">
      <c r="A265" s="14" t="s">
        <v>98</v>
      </c>
      <c r="B265" s="19" t="s">
        <v>33</v>
      </c>
      <c r="C265" s="19" t="s">
        <v>12</v>
      </c>
      <c r="D265" s="20" t="s">
        <v>1</v>
      </c>
      <c r="E265" s="17">
        <v>71000</v>
      </c>
      <c r="F265" s="16" t="s">
        <v>141</v>
      </c>
      <c r="G265" s="20"/>
      <c r="H265" s="9">
        <f t="shared" si="35"/>
        <v>976.1</v>
      </c>
      <c r="I265" s="9">
        <f t="shared" si="35"/>
        <v>976.1</v>
      </c>
      <c r="J265" s="9">
        <f t="shared" si="35"/>
        <v>0</v>
      </c>
      <c r="K265" s="9">
        <f t="shared" si="25"/>
        <v>0</v>
      </c>
    </row>
    <row r="266" spans="1:11" s="10" customFormat="1" ht="25.5">
      <c r="A266" s="37" t="s">
        <v>194</v>
      </c>
      <c r="B266" s="19" t="s">
        <v>33</v>
      </c>
      <c r="C266" s="19" t="s">
        <v>12</v>
      </c>
      <c r="D266" s="20" t="s">
        <v>1</v>
      </c>
      <c r="E266" s="17">
        <v>71005</v>
      </c>
      <c r="F266" s="16" t="s">
        <v>141</v>
      </c>
      <c r="G266" s="20"/>
      <c r="H266" s="9">
        <f t="shared" si="35"/>
        <v>976.1</v>
      </c>
      <c r="I266" s="9">
        <f t="shared" si="35"/>
        <v>976.1</v>
      </c>
      <c r="J266" s="9">
        <f t="shared" si="35"/>
        <v>0</v>
      </c>
      <c r="K266" s="9">
        <f aca="true" t="shared" si="36" ref="K266:K329">I266/H266*100-100</f>
        <v>0</v>
      </c>
    </row>
    <row r="267" spans="1:11" s="21" customFormat="1" ht="12.75">
      <c r="A267" s="37" t="s">
        <v>195</v>
      </c>
      <c r="B267" s="19" t="s">
        <v>33</v>
      </c>
      <c r="C267" s="19" t="s">
        <v>12</v>
      </c>
      <c r="D267" s="20" t="s">
        <v>1</v>
      </c>
      <c r="E267" s="17">
        <v>71005</v>
      </c>
      <c r="F267" s="18" t="s">
        <v>196</v>
      </c>
      <c r="G267" s="20"/>
      <c r="H267" s="9">
        <f t="shared" si="35"/>
        <v>976.1</v>
      </c>
      <c r="I267" s="9">
        <f t="shared" si="35"/>
        <v>976.1</v>
      </c>
      <c r="J267" s="9">
        <f t="shared" si="35"/>
        <v>0</v>
      </c>
      <c r="K267" s="9">
        <f t="shared" si="36"/>
        <v>0</v>
      </c>
    </row>
    <row r="268" spans="1:11" s="21" customFormat="1" ht="12.75">
      <c r="A268" s="11" t="s">
        <v>90</v>
      </c>
      <c r="B268" s="19" t="s">
        <v>33</v>
      </c>
      <c r="C268" s="19" t="s">
        <v>12</v>
      </c>
      <c r="D268" s="20" t="s">
        <v>1</v>
      </c>
      <c r="E268" s="17">
        <v>71005</v>
      </c>
      <c r="F268" s="18" t="s">
        <v>196</v>
      </c>
      <c r="G268" s="20" t="s">
        <v>68</v>
      </c>
      <c r="H268" s="9">
        <f t="shared" si="35"/>
        <v>976.1</v>
      </c>
      <c r="I268" s="9">
        <f t="shared" si="35"/>
        <v>976.1</v>
      </c>
      <c r="J268" s="9">
        <f t="shared" si="35"/>
        <v>0</v>
      </c>
      <c r="K268" s="9">
        <f t="shared" si="36"/>
        <v>0</v>
      </c>
    </row>
    <row r="269" spans="1:11" s="21" customFormat="1" ht="12.75">
      <c r="A269" s="11" t="s">
        <v>124</v>
      </c>
      <c r="B269" s="19" t="s">
        <v>33</v>
      </c>
      <c r="C269" s="19" t="s">
        <v>12</v>
      </c>
      <c r="D269" s="20" t="s">
        <v>1</v>
      </c>
      <c r="E269" s="17">
        <v>71005</v>
      </c>
      <c r="F269" s="18" t="s">
        <v>196</v>
      </c>
      <c r="G269" s="20" t="s">
        <v>69</v>
      </c>
      <c r="H269" s="9">
        <f>1068-91.9</f>
        <v>976.1</v>
      </c>
      <c r="I269" s="9">
        <f>1068-91.9</f>
        <v>976.1</v>
      </c>
      <c r="J269" s="9">
        <f>I269-H269</f>
        <v>0</v>
      </c>
      <c r="K269" s="9">
        <f t="shared" si="36"/>
        <v>0</v>
      </c>
    </row>
    <row r="270" spans="1:11" s="21" customFormat="1" ht="12.75">
      <c r="A270" s="11" t="s">
        <v>42</v>
      </c>
      <c r="B270" s="19" t="s">
        <v>33</v>
      </c>
      <c r="C270" s="19" t="s">
        <v>12</v>
      </c>
      <c r="D270" s="20" t="s">
        <v>5</v>
      </c>
      <c r="E270" s="20"/>
      <c r="F270" s="20"/>
      <c r="G270" s="20"/>
      <c r="H270" s="9">
        <f>H271+H278+H283</f>
        <v>2159.9</v>
      </c>
      <c r="I270" s="9">
        <f>I271+I278+I283</f>
        <v>2101.5</v>
      </c>
      <c r="J270" s="9">
        <f>J271+J278+J283</f>
        <v>-58.399999999999906</v>
      </c>
      <c r="K270" s="9">
        <f t="shared" si="36"/>
        <v>-2.703828880966725</v>
      </c>
    </row>
    <row r="271" spans="1:11" s="21" customFormat="1" ht="15">
      <c r="A271" s="11" t="s">
        <v>99</v>
      </c>
      <c r="B271" s="19" t="s">
        <v>33</v>
      </c>
      <c r="C271" s="19" t="s">
        <v>12</v>
      </c>
      <c r="D271" s="20" t="s">
        <v>5</v>
      </c>
      <c r="E271" s="27">
        <v>72000</v>
      </c>
      <c r="F271" s="28" t="s">
        <v>141</v>
      </c>
      <c r="G271" s="20"/>
      <c r="H271" s="9">
        <f aca="true" t="shared" si="37" ref="H271:J272">H272</f>
        <v>2055.4</v>
      </c>
      <c r="I271" s="9">
        <f t="shared" si="37"/>
        <v>2021.5</v>
      </c>
      <c r="J271" s="9">
        <f t="shared" si="37"/>
        <v>-33.899999999999906</v>
      </c>
      <c r="K271" s="9">
        <f t="shared" si="36"/>
        <v>-1.6493140021407129</v>
      </c>
    </row>
    <row r="272" spans="1:11" s="21" customFormat="1" ht="38.25">
      <c r="A272" s="14" t="s">
        <v>152</v>
      </c>
      <c r="B272" s="19" t="s">
        <v>33</v>
      </c>
      <c r="C272" s="19" t="s">
        <v>12</v>
      </c>
      <c r="D272" s="20" t="s">
        <v>5</v>
      </c>
      <c r="E272" s="17">
        <v>72002</v>
      </c>
      <c r="F272" s="16" t="s">
        <v>141</v>
      </c>
      <c r="G272" s="20"/>
      <c r="H272" s="9">
        <f t="shared" si="37"/>
        <v>2055.4</v>
      </c>
      <c r="I272" s="9">
        <f t="shared" si="37"/>
        <v>2021.5</v>
      </c>
      <c r="J272" s="9">
        <f t="shared" si="37"/>
        <v>-33.899999999999906</v>
      </c>
      <c r="K272" s="9">
        <f t="shared" si="36"/>
        <v>-1.6493140021407129</v>
      </c>
    </row>
    <row r="273" spans="1:11" s="21" customFormat="1" ht="38.25">
      <c r="A273" s="11" t="s">
        <v>197</v>
      </c>
      <c r="B273" s="19" t="s">
        <v>33</v>
      </c>
      <c r="C273" s="19" t="s">
        <v>12</v>
      </c>
      <c r="D273" s="20" t="s">
        <v>5</v>
      </c>
      <c r="E273" s="17">
        <v>72002</v>
      </c>
      <c r="F273" s="17" t="s">
        <v>198</v>
      </c>
      <c r="G273" s="20"/>
      <c r="H273" s="9">
        <f>H274+H276</f>
        <v>2055.4</v>
      </c>
      <c r="I273" s="9">
        <f>I274+I276</f>
        <v>2021.5</v>
      </c>
      <c r="J273" s="9">
        <f>J274+J276</f>
        <v>-33.899999999999906</v>
      </c>
      <c r="K273" s="9">
        <f t="shared" si="36"/>
        <v>-1.6493140021407129</v>
      </c>
    </row>
    <row r="274" spans="1:11" s="21" customFormat="1" ht="25.5">
      <c r="A274" s="11" t="s">
        <v>62</v>
      </c>
      <c r="B274" s="19" t="s">
        <v>33</v>
      </c>
      <c r="C274" s="19" t="s">
        <v>12</v>
      </c>
      <c r="D274" s="20" t="s">
        <v>5</v>
      </c>
      <c r="E274" s="17">
        <v>72002</v>
      </c>
      <c r="F274" s="17" t="s">
        <v>198</v>
      </c>
      <c r="G274" s="20" t="s">
        <v>61</v>
      </c>
      <c r="H274" s="9">
        <f>H275</f>
        <v>32.4</v>
      </c>
      <c r="I274" s="9">
        <f>I275</f>
        <v>31.1</v>
      </c>
      <c r="J274" s="9">
        <f>J275</f>
        <v>-1.2999999999999972</v>
      </c>
      <c r="K274" s="9">
        <f t="shared" si="36"/>
        <v>-4.012345679012341</v>
      </c>
    </row>
    <row r="275" spans="1:11" s="21" customFormat="1" ht="25.5">
      <c r="A275" s="11" t="s">
        <v>63</v>
      </c>
      <c r="B275" s="19" t="s">
        <v>33</v>
      </c>
      <c r="C275" s="19" t="s">
        <v>12</v>
      </c>
      <c r="D275" s="20" t="s">
        <v>5</v>
      </c>
      <c r="E275" s="17">
        <v>72002</v>
      </c>
      <c r="F275" s="17" t="s">
        <v>198</v>
      </c>
      <c r="G275" s="20" t="s">
        <v>17</v>
      </c>
      <c r="H275" s="9">
        <v>32.4</v>
      </c>
      <c r="I275" s="9">
        <v>31.1</v>
      </c>
      <c r="J275" s="9">
        <f>I275-H275</f>
        <v>-1.2999999999999972</v>
      </c>
      <c r="K275" s="9">
        <f t="shared" si="36"/>
        <v>-4.012345679012341</v>
      </c>
    </row>
    <row r="276" spans="1:11" s="21" customFormat="1" ht="12.75">
      <c r="A276" s="11" t="s">
        <v>90</v>
      </c>
      <c r="B276" s="19" t="s">
        <v>33</v>
      </c>
      <c r="C276" s="19" t="s">
        <v>12</v>
      </c>
      <c r="D276" s="20" t="s">
        <v>5</v>
      </c>
      <c r="E276" s="17">
        <v>72002</v>
      </c>
      <c r="F276" s="17" t="s">
        <v>198</v>
      </c>
      <c r="G276" s="20" t="s">
        <v>68</v>
      </c>
      <c r="H276" s="9">
        <f>H277</f>
        <v>2023</v>
      </c>
      <c r="I276" s="9">
        <f>I277</f>
        <v>1990.4</v>
      </c>
      <c r="J276" s="9">
        <f>J277</f>
        <v>-32.59999999999991</v>
      </c>
      <c r="K276" s="9">
        <f t="shared" si="36"/>
        <v>-1.6114681166584148</v>
      </c>
    </row>
    <row r="277" spans="1:11" s="21" customFormat="1" ht="12.75">
      <c r="A277" s="11" t="s">
        <v>124</v>
      </c>
      <c r="B277" s="19" t="s">
        <v>33</v>
      </c>
      <c r="C277" s="19" t="s">
        <v>12</v>
      </c>
      <c r="D277" s="20" t="s">
        <v>5</v>
      </c>
      <c r="E277" s="17">
        <v>72002</v>
      </c>
      <c r="F277" s="17" t="s">
        <v>198</v>
      </c>
      <c r="G277" s="20" t="s">
        <v>69</v>
      </c>
      <c r="H277" s="9">
        <v>2023</v>
      </c>
      <c r="I277" s="9">
        <v>1990.4</v>
      </c>
      <c r="J277" s="9">
        <f>I277-H277</f>
        <v>-32.59999999999991</v>
      </c>
      <c r="K277" s="9">
        <f t="shared" si="36"/>
        <v>-1.6114681166584148</v>
      </c>
    </row>
    <row r="278" spans="1:11" s="21" customFormat="1" ht="38.25">
      <c r="A278" s="36" t="s">
        <v>102</v>
      </c>
      <c r="B278" s="19" t="s">
        <v>33</v>
      </c>
      <c r="C278" s="19" t="s">
        <v>12</v>
      </c>
      <c r="D278" s="20" t="s">
        <v>5</v>
      </c>
      <c r="E278" s="17">
        <v>75000</v>
      </c>
      <c r="F278" s="16" t="s">
        <v>141</v>
      </c>
      <c r="G278" s="20"/>
      <c r="H278" s="9">
        <f aca="true" t="shared" si="38" ref="H278:J281">H279</f>
        <v>24.5</v>
      </c>
      <c r="I278" s="9">
        <f t="shared" si="38"/>
        <v>0</v>
      </c>
      <c r="J278" s="9">
        <f t="shared" si="38"/>
        <v>-24.5</v>
      </c>
      <c r="K278" s="9">
        <f t="shared" si="36"/>
        <v>-100</v>
      </c>
    </row>
    <row r="279" spans="1:11" s="21" customFormat="1" ht="25.5">
      <c r="A279" s="11" t="s">
        <v>199</v>
      </c>
      <c r="B279" s="19" t="s">
        <v>33</v>
      </c>
      <c r="C279" s="19" t="s">
        <v>12</v>
      </c>
      <c r="D279" s="20" t="s">
        <v>5</v>
      </c>
      <c r="E279" s="17">
        <v>75003</v>
      </c>
      <c r="F279" s="16" t="s">
        <v>141</v>
      </c>
      <c r="G279" s="20"/>
      <c r="H279" s="9">
        <f t="shared" si="38"/>
        <v>24.5</v>
      </c>
      <c r="I279" s="9">
        <f t="shared" si="38"/>
        <v>0</v>
      </c>
      <c r="J279" s="9">
        <f t="shared" si="38"/>
        <v>-24.5</v>
      </c>
      <c r="K279" s="9">
        <f t="shared" si="36"/>
        <v>-100</v>
      </c>
    </row>
    <row r="280" spans="1:11" s="21" customFormat="1" ht="25.5">
      <c r="A280" s="11" t="s">
        <v>270</v>
      </c>
      <c r="B280" s="19" t="s">
        <v>33</v>
      </c>
      <c r="C280" s="19" t="s">
        <v>12</v>
      </c>
      <c r="D280" s="20" t="s">
        <v>5</v>
      </c>
      <c r="E280" s="17">
        <v>75003</v>
      </c>
      <c r="F280" s="17" t="s">
        <v>200</v>
      </c>
      <c r="G280" s="20"/>
      <c r="H280" s="9">
        <f t="shared" si="38"/>
        <v>24.5</v>
      </c>
      <c r="I280" s="9">
        <f t="shared" si="38"/>
        <v>0</v>
      </c>
      <c r="J280" s="9">
        <f t="shared" si="38"/>
        <v>-24.5</v>
      </c>
      <c r="K280" s="9">
        <f t="shared" si="36"/>
        <v>-100</v>
      </c>
    </row>
    <row r="281" spans="1:11" s="21" customFormat="1" ht="12.75">
      <c r="A281" s="11" t="s">
        <v>90</v>
      </c>
      <c r="B281" s="19" t="s">
        <v>33</v>
      </c>
      <c r="C281" s="19" t="s">
        <v>12</v>
      </c>
      <c r="D281" s="20" t="s">
        <v>5</v>
      </c>
      <c r="E281" s="17">
        <v>75003</v>
      </c>
      <c r="F281" s="17" t="s">
        <v>200</v>
      </c>
      <c r="G281" s="20" t="s">
        <v>68</v>
      </c>
      <c r="H281" s="9">
        <f t="shared" si="38"/>
        <v>24.5</v>
      </c>
      <c r="I281" s="9">
        <f t="shared" si="38"/>
        <v>0</v>
      </c>
      <c r="J281" s="9">
        <f t="shared" si="38"/>
        <v>-24.5</v>
      </c>
      <c r="K281" s="9">
        <f t="shared" si="36"/>
        <v>-100</v>
      </c>
    </row>
    <row r="282" spans="1:11" s="21" customFormat="1" ht="25.5">
      <c r="A282" s="11" t="s">
        <v>125</v>
      </c>
      <c r="B282" s="19" t="s">
        <v>33</v>
      </c>
      <c r="C282" s="19" t="s">
        <v>12</v>
      </c>
      <c r="D282" s="20" t="s">
        <v>5</v>
      </c>
      <c r="E282" s="17">
        <v>75003</v>
      </c>
      <c r="F282" s="17" t="s">
        <v>200</v>
      </c>
      <c r="G282" s="20" t="s">
        <v>83</v>
      </c>
      <c r="H282" s="9">
        <v>24.5</v>
      </c>
      <c r="I282" s="9">
        <v>0</v>
      </c>
      <c r="J282" s="9">
        <f>I282-H282</f>
        <v>-24.5</v>
      </c>
      <c r="K282" s="9">
        <f t="shared" si="36"/>
        <v>-100</v>
      </c>
    </row>
    <row r="283" spans="1:11" s="21" customFormat="1" ht="15">
      <c r="A283" s="11" t="s">
        <v>127</v>
      </c>
      <c r="B283" s="19" t="s">
        <v>33</v>
      </c>
      <c r="C283" s="19" t="s">
        <v>12</v>
      </c>
      <c r="D283" s="20" t="s">
        <v>5</v>
      </c>
      <c r="E283" s="15">
        <v>99000</v>
      </c>
      <c r="F283" s="16" t="s">
        <v>141</v>
      </c>
      <c r="G283" s="20"/>
      <c r="H283" s="9">
        <f aca="true" t="shared" si="39" ref="H283:J286">H284</f>
        <v>80</v>
      </c>
      <c r="I283" s="9">
        <f t="shared" si="39"/>
        <v>80</v>
      </c>
      <c r="J283" s="9">
        <f t="shared" si="39"/>
        <v>0</v>
      </c>
      <c r="K283" s="9">
        <f t="shared" si="36"/>
        <v>0</v>
      </c>
    </row>
    <row r="284" spans="1:11" s="21" customFormat="1" ht="15">
      <c r="A284" s="11" t="s">
        <v>130</v>
      </c>
      <c r="B284" s="19" t="s">
        <v>33</v>
      </c>
      <c r="C284" s="19" t="s">
        <v>12</v>
      </c>
      <c r="D284" s="20" t="s">
        <v>5</v>
      </c>
      <c r="E284" s="15">
        <v>99300</v>
      </c>
      <c r="F284" s="16" t="s">
        <v>141</v>
      </c>
      <c r="G284" s="20"/>
      <c r="H284" s="9">
        <f t="shared" si="39"/>
        <v>80</v>
      </c>
      <c r="I284" s="9">
        <f t="shared" si="39"/>
        <v>80</v>
      </c>
      <c r="J284" s="9">
        <f t="shared" si="39"/>
        <v>0</v>
      </c>
      <c r="K284" s="9">
        <f t="shared" si="36"/>
        <v>0</v>
      </c>
    </row>
    <row r="285" spans="1:11" s="21" customFormat="1" ht="25.5">
      <c r="A285" s="37" t="s">
        <v>201</v>
      </c>
      <c r="B285" s="19" t="s">
        <v>33</v>
      </c>
      <c r="C285" s="19" t="s">
        <v>12</v>
      </c>
      <c r="D285" s="20" t="s">
        <v>5</v>
      </c>
      <c r="E285" s="15">
        <v>99300</v>
      </c>
      <c r="F285" s="18" t="s">
        <v>202</v>
      </c>
      <c r="G285" s="20"/>
      <c r="H285" s="9">
        <f t="shared" si="39"/>
        <v>80</v>
      </c>
      <c r="I285" s="9">
        <f t="shared" si="39"/>
        <v>80</v>
      </c>
      <c r="J285" s="9">
        <f t="shared" si="39"/>
        <v>0</v>
      </c>
      <c r="K285" s="9">
        <f t="shared" si="36"/>
        <v>0</v>
      </c>
    </row>
    <row r="286" spans="1:11" s="21" customFormat="1" ht="15">
      <c r="A286" s="11" t="s">
        <v>90</v>
      </c>
      <c r="B286" s="19" t="s">
        <v>33</v>
      </c>
      <c r="C286" s="19" t="s">
        <v>12</v>
      </c>
      <c r="D286" s="20" t="s">
        <v>5</v>
      </c>
      <c r="E286" s="15">
        <v>99300</v>
      </c>
      <c r="F286" s="18" t="s">
        <v>202</v>
      </c>
      <c r="G286" s="20" t="s">
        <v>68</v>
      </c>
      <c r="H286" s="9">
        <f t="shared" si="39"/>
        <v>80</v>
      </c>
      <c r="I286" s="9">
        <f t="shared" si="39"/>
        <v>80</v>
      </c>
      <c r="J286" s="9">
        <f t="shared" si="39"/>
        <v>0</v>
      </c>
      <c r="K286" s="9">
        <f t="shared" si="36"/>
        <v>0</v>
      </c>
    </row>
    <row r="287" spans="1:11" s="21" customFormat="1" ht="25.5">
      <c r="A287" s="11" t="s">
        <v>125</v>
      </c>
      <c r="B287" s="19" t="s">
        <v>33</v>
      </c>
      <c r="C287" s="19" t="s">
        <v>12</v>
      </c>
      <c r="D287" s="20" t="s">
        <v>5</v>
      </c>
      <c r="E287" s="15">
        <v>99300</v>
      </c>
      <c r="F287" s="18" t="s">
        <v>202</v>
      </c>
      <c r="G287" s="20" t="s">
        <v>83</v>
      </c>
      <c r="H287" s="9">
        <v>80</v>
      </c>
      <c r="I287" s="9">
        <v>80</v>
      </c>
      <c r="J287" s="9">
        <f>I287-H287</f>
        <v>0</v>
      </c>
      <c r="K287" s="9">
        <f t="shared" si="36"/>
        <v>0</v>
      </c>
    </row>
    <row r="288" spans="1:11" s="21" customFormat="1" ht="12.75" customHeight="1">
      <c r="A288" s="11" t="s">
        <v>45</v>
      </c>
      <c r="B288" s="19" t="s">
        <v>33</v>
      </c>
      <c r="C288" s="19" t="s">
        <v>12</v>
      </c>
      <c r="D288" s="20" t="s">
        <v>2</v>
      </c>
      <c r="E288" s="20"/>
      <c r="F288" s="20"/>
      <c r="G288" s="20"/>
      <c r="H288" s="9">
        <f aca="true" t="shared" si="40" ref="H288:J292">H289</f>
        <v>19.7</v>
      </c>
      <c r="I288" s="9">
        <f t="shared" si="40"/>
        <v>19.7</v>
      </c>
      <c r="J288" s="9">
        <f t="shared" si="40"/>
        <v>0</v>
      </c>
      <c r="K288" s="9">
        <f t="shared" si="36"/>
        <v>0</v>
      </c>
    </row>
    <row r="289" spans="1:11" s="21" customFormat="1" ht="25.5">
      <c r="A289" s="11" t="s">
        <v>105</v>
      </c>
      <c r="B289" s="19" t="s">
        <v>33</v>
      </c>
      <c r="C289" s="19" t="s">
        <v>12</v>
      </c>
      <c r="D289" s="20" t="s">
        <v>2</v>
      </c>
      <c r="E289" s="17">
        <v>79000</v>
      </c>
      <c r="F289" s="16" t="s">
        <v>141</v>
      </c>
      <c r="G289" s="20"/>
      <c r="H289" s="9">
        <f t="shared" si="40"/>
        <v>19.7</v>
      </c>
      <c r="I289" s="9">
        <f t="shared" si="40"/>
        <v>19.7</v>
      </c>
      <c r="J289" s="9">
        <f t="shared" si="40"/>
        <v>0</v>
      </c>
      <c r="K289" s="9">
        <f t="shared" si="36"/>
        <v>0</v>
      </c>
    </row>
    <row r="290" spans="1:11" s="21" customFormat="1" ht="51">
      <c r="A290" s="32" t="s">
        <v>203</v>
      </c>
      <c r="B290" s="19" t="s">
        <v>33</v>
      </c>
      <c r="C290" s="19" t="s">
        <v>12</v>
      </c>
      <c r="D290" s="20" t="s">
        <v>2</v>
      </c>
      <c r="E290" s="17">
        <v>79006</v>
      </c>
      <c r="F290" s="16" t="s">
        <v>141</v>
      </c>
      <c r="G290" s="20"/>
      <c r="H290" s="9">
        <f t="shared" si="40"/>
        <v>19.7</v>
      </c>
      <c r="I290" s="9">
        <f t="shared" si="40"/>
        <v>19.7</v>
      </c>
      <c r="J290" s="9">
        <f t="shared" si="40"/>
        <v>0</v>
      </c>
      <c r="K290" s="9">
        <f t="shared" si="36"/>
        <v>0</v>
      </c>
    </row>
    <row r="291" spans="1:11" s="21" customFormat="1" ht="38.25">
      <c r="A291" s="32" t="s">
        <v>204</v>
      </c>
      <c r="B291" s="19" t="s">
        <v>33</v>
      </c>
      <c r="C291" s="19" t="s">
        <v>12</v>
      </c>
      <c r="D291" s="20" t="s">
        <v>2</v>
      </c>
      <c r="E291" s="17">
        <v>79006</v>
      </c>
      <c r="F291" s="17">
        <v>99250</v>
      </c>
      <c r="G291" s="20"/>
      <c r="H291" s="9">
        <f t="shared" si="40"/>
        <v>19.7</v>
      </c>
      <c r="I291" s="9">
        <f t="shared" si="40"/>
        <v>19.7</v>
      </c>
      <c r="J291" s="9">
        <f t="shared" si="40"/>
        <v>0</v>
      </c>
      <c r="K291" s="9">
        <f t="shared" si="36"/>
        <v>0</v>
      </c>
    </row>
    <row r="292" spans="1:11" s="21" customFormat="1" ht="25.5">
      <c r="A292" s="11" t="s">
        <v>89</v>
      </c>
      <c r="B292" s="19" t="s">
        <v>33</v>
      </c>
      <c r="C292" s="19" t="s">
        <v>12</v>
      </c>
      <c r="D292" s="20" t="s">
        <v>2</v>
      </c>
      <c r="E292" s="17">
        <v>79006</v>
      </c>
      <c r="F292" s="17">
        <v>99250</v>
      </c>
      <c r="G292" s="20" t="s">
        <v>74</v>
      </c>
      <c r="H292" s="9">
        <f t="shared" si="40"/>
        <v>19.7</v>
      </c>
      <c r="I292" s="9">
        <f t="shared" si="40"/>
        <v>19.7</v>
      </c>
      <c r="J292" s="9">
        <f t="shared" si="40"/>
        <v>0</v>
      </c>
      <c r="K292" s="9">
        <f t="shared" si="36"/>
        <v>0</v>
      </c>
    </row>
    <row r="293" spans="1:11" s="21" customFormat="1" ht="25.5">
      <c r="A293" s="11" t="s">
        <v>93</v>
      </c>
      <c r="B293" s="19" t="s">
        <v>33</v>
      </c>
      <c r="C293" s="19" t="s">
        <v>12</v>
      </c>
      <c r="D293" s="20" t="s">
        <v>2</v>
      </c>
      <c r="E293" s="17">
        <v>79006</v>
      </c>
      <c r="F293" s="17">
        <v>99250</v>
      </c>
      <c r="G293" s="20" t="s">
        <v>91</v>
      </c>
      <c r="H293" s="9">
        <v>19.7</v>
      </c>
      <c r="I293" s="9">
        <v>19.7</v>
      </c>
      <c r="J293" s="9">
        <f>I293-H293</f>
        <v>0</v>
      </c>
      <c r="K293" s="9">
        <f t="shared" si="36"/>
        <v>0</v>
      </c>
    </row>
    <row r="294" spans="1:11" s="21" customFormat="1" ht="12.75">
      <c r="A294" s="11" t="s">
        <v>38</v>
      </c>
      <c r="B294" s="19" t="s">
        <v>33</v>
      </c>
      <c r="C294" s="19" t="s">
        <v>47</v>
      </c>
      <c r="D294" s="20"/>
      <c r="E294" s="20"/>
      <c r="F294" s="20"/>
      <c r="G294" s="20"/>
      <c r="H294" s="9">
        <f aca="true" t="shared" si="41" ref="H294:J299">H295</f>
        <v>20015.2</v>
      </c>
      <c r="I294" s="9">
        <f t="shared" si="41"/>
        <v>7521</v>
      </c>
      <c r="J294" s="9">
        <f t="shared" si="41"/>
        <v>-12494.2</v>
      </c>
      <c r="K294" s="9">
        <f t="shared" si="36"/>
        <v>-62.423558095847156</v>
      </c>
    </row>
    <row r="295" spans="1:11" s="21" customFormat="1" ht="12.75">
      <c r="A295" s="11" t="s">
        <v>52</v>
      </c>
      <c r="B295" s="19" t="s">
        <v>33</v>
      </c>
      <c r="C295" s="19" t="s">
        <v>47</v>
      </c>
      <c r="D295" s="20" t="s">
        <v>4</v>
      </c>
      <c r="E295" s="20"/>
      <c r="F295" s="20"/>
      <c r="G295" s="20"/>
      <c r="H295" s="9">
        <f t="shared" si="41"/>
        <v>20015.2</v>
      </c>
      <c r="I295" s="9">
        <f t="shared" si="41"/>
        <v>7521</v>
      </c>
      <c r="J295" s="9">
        <f t="shared" si="41"/>
        <v>-12494.2</v>
      </c>
      <c r="K295" s="9">
        <f t="shared" si="36"/>
        <v>-62.423558095847156</v>
      </c>
    </row>
    <row r="296" spans="1:11" s="21" customFormat="1" ht="25.5">
      <c r="A296" s="11" t="s">
        <v>105</v>
      </c>
      <c r="B296" s="19" t="s">
        <v>33</v>
      </c>
      <c r="C296" s="19" t="s">
        <v>47</v>
      </c>
      <c r="D296" s="20" t="s">
        <v>4</v>
      </c>
      <c r="E296" s="17">
        <v>79000</v>
      </c>
      <c r="F296" s="16" t="s">
        <v>141</v>
      </c>
      <c r="G296" s="20"/>
      <c r="H296" s="9">
        <f t="shared" si="41"/>
        <v>20015.2</v>
      </c>
      <c r="I296" s="9">
        <f t="shared" si="41"/>
        <v>7521</v>
      </c>
      <c r="J296" s="9">
        <f t="shared" si="41"/>
        <v>-12494.2</v>
      </c>
      <c r="K296" s="9">
        <f t="shared" si="36"/>
        <v>-62.423558095847156</v>
      </c>
    </row>
    <row r="297" spans="1:11" s="21" customFormat="1" ht="25.5">
      <c r="A297" s="32" t="s">
        <v>205</v>
      </c>
      <c r="B297" s="19" t="s">
        <v>33</v>
      </c>
      <c r="C297" s="19" t="s">
        <v>47</v>
      </c>
      <c r="D297" s="20" t="s">
        <v>4</v>
      </c>
      <c r="E297" s="17">
        <v>79004</v>
      </c>
      <c r="F297" s="16" t="s">
        <v>141</v>
      </c>
      <c r="G297" s="20"/>
      <c r="H297" s="9">
        <f t="shared" si="41"/>
        <v>20015.2</v>
      </c>
      <c r="I297" s="9">
        <f t="shared" si="41"/>
        <v>7521</v>
      </c>
      <c r="J297" s="9">
        <f t="shared" si="41"/>
        <v>-12494.2</v>
      </c>
      <c r="K297" s="9">
        <f t="shared" si="36"/>
        <v>-62.423558095847156</v>
      </c>
    </row>
    <row r="298" spans="1:11" s="21" customFormat="1" ht="12.75">
      <c r="A298" s="32" t="s">
        <v>116</v>
      </c>
      <c r="B298" s="19" t="s">
        <v>33</v>
      </c>
      <c r="C298" s="19" t="s">
        <v>47</v>
      </c>
      <c r="D298" s="20" t="s">
        <v>4</v>
      </c>
      <c r="E298" s="17">
        <v>79004</v>
      </c>
      <c r="F298" s="17">
        <v>99230</v>
      </c>
      <c r="G298" s="20"/>
      <c r="H298" s="9">
        <f t="shared" si="41"/>
        <v>20015.2</v>
      </c>
      <c r="I298" s="9">
        <f t="shared" si="41"/>
        <v>7521</v>
      </c>
      <c r="J298" s="9">
        <f t="shared" si="41"/>
        <v>-12494.2</v>
      </c>
      <c r="K298" s="9">
        <f t="shared" si="36"/>
        <v>-62.423558095847156</v>
      </c>
    </row>
    <row r="299" spans="1:11" s="21" customFormat="1" ht="25.5">
      <c r="A299" s="11" t="s">
        <v>72</v>
      </c>
      <c r="B299" s="19" t="s">
        <v>33</v>
      </c>
      <c r="C299" s="19" t="s">
        <v>47</v>
      </c>
      <c r="D299" s="20" t="s">
        <v>4</v>
      </c>
      <c r="E299" s="17">
        <v>79004</v>
      </c>
      <c r="F299" s="17">
        <v>99230</v>
      </c>
      <c r="G299" s="20" t="s">
        <v>70</v>
      </c>
      <c r="H299" s="9">
        <f t="shared" si="41"/>
        <v>20015.2</v>
      </c>
      <c r="I299" s="9">
        <f t="shared" si="41"/>
        <v>7521</v>
      </c>
      <c r="J299" s="9">
        <f t="shared" si="41"/>
        <v>-12494.2</v>
      </c>
      <c r="K299" s="9">
        <f t="shared" si="36"/>
        <v>-62.423558095847156</v>
      </c>
    </row>
    <row r="300" spans="1:11" s="21" customFormat="1" ht="12.75">
      <c r="A300" s="11" t="s">
        <v>36</v>
      </c>
      <c r="B300" s="19" t="s">
        <v>33</v>
      </c>
      <c r="C300" s="19" t="s">
        <v>47</v>
      </c>
      <c r="D300" s="20" t="s">
        <v>4</v>
      </c>
      <c r="E300" s="17">
        <v>79004</v>
      </c>
      <c r="F300" s="17">
        <v>99230</v>
      </c>
      <c r="G300" s="20" t="s">
        <v>71</v>
      </c>
      <c r="H300" s="9">
        <f>21679-16000+14336.2</f>
        <v>20015.2</v>
      </c>
      <c r="I300" s="9">
        <v>7521</v>
      </c>
      <c r="J300" s="9">
        <f>I300-H300</f>
        <v>-12494.2</v>
      </c>
      <c r="K300" s="9">
        <f t="shared" si="36"/>
        <v>-62.423558095847156</v>
      </c>
    </row>
    <row r="301" spans="1:11" s="21" customFormat="1" ht="12.75">
      <c r="A301" s="11" t="s">
        <v>49</v>
      </c>
      <c r="B301" s="19" t="s">
        <v>33</v>
      </c>
      <c r="C301" s="20" t="s">
        <v>35</v>
      </c>
      <c r="D301" s="20"/>
      <c r="E301" s="20"/>
      <c r="F301" s="20"/>
      <c r="G301" s="20"/>
      <c r="H301" s="9">
        <f aca="true" t="shared" si="42" ref="H301:J306">H302</f>
        <v>1256.7</v>
      </c>
      <c r="I301" s="9">
        <f t="shared" si="42"/>
        <v>1199.1</v>
      </c>
      <c r="J301" s="9">
        <f t="shared" si="42"/>
        <v>-57.599999999999966</v>
      </c>
      <c r="K301" s="9">
        <f t="shared" si="36"/>
        <v>-4.583432800190991</v>
      </c>
    </row>
    <row r="302" spans="1:11" s="21" customFormat="1" ht="28.5" customHeight="1">
      <c r="A302" s="11" t="s">
        <v>40</v>
      </c>
      <c r="B302" s="19" t="s">
        <v>33</v>
      </c>
      <c r="C302" s="20" t="s">
        <v>35</v>
      </c>
      <c r="D302" s="20" t="s">
        <v>6</v>
      </c>
      <c r="E302" s="20"/>
      <c r="F302" s="20"/>
      <c r="G302" s="20"/>
      <c r="H302" s="9">
        <f t="shared" si="42"/>
        <v>1256.7</v>
      </c>
      <c r="I302" s="9">
        <f t="shared" si="42"/>
        <v>1199.1</v>
      </c>
      <c r="J302" s="9">
        <f t="shared" si="42"/>
        <v>-57.599999999999966</v>
      </c>
      <c r="K302" s="9">
        <f t="shared" si="36"/>
        <v>-4.583432800190991</v>
      </c>
    </row>
    <row r="303" spans="1:11" s="21" customFormat="1" ht="25.5">
      <c r="A303" s="11" t="s">
        <v>104</v>
      </c>
      <c r="B303" s="19" t="s">
        <v>33</v>
      </c>
      <c r="C303" s="20" t="s">
        <v>35</v>
      </c>
      <c r="D303" s="20" t="s">
        <v>6</v>
      </c>
      <c r="E303" s="17">
        <v>78000</v>
      </c>
      <c r="F303" s="16" t="s">
        <v>141</v>
      </c>
      <c r="G303" s="20"/>
      <c r="H303" s="9">
        <f t="shared" si="42"/>
        <v>1256.7</v>
      </c>
      <c r="I303" s="9">
        <f t="shared" si="42"/>
        <v>1199.1</v>
      </c>
      <c r="J303" s="9">
        <f t="shared" si="42"/>
        <v>-57.599999999999966</v>
      </c>
      <c r="K303" s="9">
        <f t="shared" si="36"/>
        <v>-4.583432800190991</v>
      </c>
    </row>
    <row r="304" spans="1:11" s="21" customFormat="1" ht="25.5">
      <c r="A304" s="32" t="s">
        <v>271</v>
      </c>
      <c r="B304" s="19" t="s">
        <v>33</v>
      </c>
      <c r="C304" s="20" t="s">
        <v>35</v>
      </c>
      <c r="D304" s="20" t="s">
        <v>6</v>
      </c>
      <c r="E304" s="17">
        <v>78002</v>
      </c>
      <c r="F304" s="16" t="s">
        <v>141</v>
      </c>
      <c r="G304" s="20"/>
      <c r="H304" s="9">
        <f t="shared" si="42"/>
        <v>1256.7</v>
      </c>
      <c r="I304" s="9">
        <f t="shared" si="42"/>
        <v>1199.1</v>
      </c>
      <c r="J304" s="9">
        <f t="shared" si="42"/>
        <v>-57.599999999999966</v>
      </c>
      <c r="K304" s="9">
        <f t="shared" si="36"/>
        <v>-4.583432800190991</v>
      </c>
    </row>
    <row r="305" spans="1:11" s="21" customFormat="1" ht="27.75" customHeight="1">
      <c r="A305" s="32" t="s">
        <v>272</v>
      </c>
      <c r="B305" s="19" t="s">
        <v>33</v>
      </c>
      <c r="C305" s="20" t="s">
        <v>35</v>
      </c>
      <c r="D305" s="20" t="s">
        <v>6</v>
      </c>
      <c r="E305" s="17">
        <v>78002</v>
      </c>
      <c r="F305" s="18" t="s">
        <v>170</v>
      </c>
      <c r="G305" s="20"/>
      <c r="H305" s="9">
        <f>H306+H308</f>
        <v>1256.7</v>
      </c>
      <c r="I305" s="9">
        <f>I306+I308</f>
        <v>1199.1</v>
      </c>
      <c r="J305" s="9">
        <f>J306+J308</f>
        <v>-57.599999999999966</v>
      </c>
      <c r="K305" s="9">
        <f t="shared" si="36"/>
        <v>-4.583432800190991</v>
      </c>
    </row>
    <row r="306" spans="1:11" s="21" customFormat="1" ht="51">
      <c r="A306" s="11" t="s">
        <v>58</v>
      </c>
      <c r="B306" s="19" t="s">
        <v>33</v>
      </c>
      <c r="C306" s="20" t="s">
        <v>35</v>
      </c>
      <c r="D306" s="20" t="s">
        <v>6</v>
      </c>
      <c r="E306" s="17">
        <v>78002</v>
      </c>
      <c r="F306" s="18" t="s">
        <v>170</v>
      </c>
      <c r="G306" s="20" t="s">
        <v>57</v>
      </c>
      <c r="H306" s="9">
        <f t="shared" si="42"/>
        <v>881.5</v>
      </c>
      <c r="I306" s="9">
        <f t="shared" si="42"/>
        <v>881.5</v>
      </c>
      <c r="J306" s="9">
        <f t="shared" si="42"/>
        <v>0</v>
      </c>
      <c r="K306" s="9">
        <f t="shared" si="36"/>
        <v>0</v>
      </c>
    </row>
    <row r="307" spans="1:11" s="21" customFormat="1" ht="12.75">
      <c r="A307" s="31" t="s">
        <v>77</v>
      </c>
      <c r="B307" s="19" t="s">
        <v>33</v>
      </c>
      <c r="C307" s="20" t="s">
        <v>35</v>
      </c>
      <c r="D307" s="20" t="s">
        <v>6</v>
      </c>
      <c r="E307" s="17">
        <v>78002</v>
      </c>
      <c r="F307" s="18" t="s">
        <v>170</v>
      </c>
      <c r="G307" s="20" t="s">
        <v>76</v>
      </c>
      <c r="H307" s="9">
        <f>913.5-14.8-17.2</f>
        <v>881.5</v>
      </c>
      <c r="I307" s="9">
        <f>913.5-14.8-17.2</f>
        <v>881.5</v>
      </c>
      <c r="J307" s="9">
        <f>I307-H307</f>
        <v>0</v>
      </c>
      <c r="K307" s="9">
        <f t="shared" si="36"/>
        <v>0</v>
      </c>
    </row>
    <row r="308" spans="1:11" s="21" customFormat="1" ht="25.5">
      <c r="A308" s="11" t="s">
        <v>62</v>
      </c>
      <c r="B308" s="19" t="s">
        <v>33</v>
      </c>
      <c r="C308" s="20" t="s">
        <v>35</v>
      </c>
      <c r="D308" s="20" t="s">
        <v>6</v>
      </c>
      <c r="E308" s="17">
        <v>78002</v>
      </c>
      <c r="F308" s="18" t="s">
        <v>170</v>
      </c>
      <c r="G308" s="20" t="s">
        <v>61</v>
      </c>
      <c r="H308" s="9">
        <f>H309</f>
        <v>375.2</v>
      </c>
      <c r="I308" s="9">
        <f>I309</f>
        <v>317.6</v>
      </c>
      <c r="J308" s="9">
        <f>J309</f>
        <v>-57.599999999999966</v>
      </c>
      <c r="K308" s="9">
        <f t="shared" si="36"/>
        <v>-15.351812366737732</v>
      </c>
    </row>
    <row r="309" spans="1:11" s="21" customFormat="1" ht="13.5" customHeight="1">
      <c r="A309" s="11" t="s">
        <v>63</v>
      </c>
      <c r="B309" s="19" t="s">
        <v>33</v>
      </c>
      <c r="C309" s="20" t="s">
        <v>35</v>
      </c>
      <c r="D309" s="20" t="s">
        <v>6</v>
      </c>
      <c r="E309" s="17">
        <v>78002</v>
      </c>
      <c r="F309" s="18" t="s">
        <v>170</v>
      </c>
      <c r="G309" s="20" t="s">
        <v>17</v>
      </c>
      <c r="H309" s="9">
        <v>375.2</v>
      </c>
      <c r="I309" s="9">
        <v>317.6</v>
      </c>
      <c r="J309" s="9">
        <f>I309-H309</f>
        <v>-57.599999999999966</v>
      </c>
      <c r="K309" s="9">
        <f t="shared" si="36"/>
        <v>-15.351812366737732</v>
      </c>
    </row>
    <row r="310" spans="1:11" s="21" customFormat="1" ht="38.25">
      <c r="A310" s="38" t="s">
        <v>84</v>
      </c>
      <c r="B310" s="39" t="s">
        <v>17</v>
      </c>
      <c r="C310" s="19"/>
      <c r="D310" s="19"/>
      <c r="E310" s="19"/>
      <c r="F310" s="19"/>
      <c r="G310" s="19"/>
      <c r="H310" s="8">
        <f>H311+H334</f>
        <v>5702.1</v>
      </c>
      <c r="I310" s="8">
        <f>I311+I334</f>
        <v>5649.8</v>
      </c>
      <c r="J310" s="8">
        <f>J311+J334</f>
        <v>-52.30000000000014</v>
      </c>
      <c r="K310" s="9">
        <f t="shared" si="36"/>
        <v>-0.9172059416706162</v>
      </c>
    </row>
    <row r="311" spans="1:11" s="21" customFormat="1" ht="13.5" customHeight="1">
      <c r="A311" s="11" t="s">
        <v>13</v>
      </c>
      <c r="B311" s="20" t="s">
        <v>17</v>
      </c>
      <c r="C311" s="20" t="s">
        <v>1</v>
      </c>
      <c r="D311" s="20"/>
      <c r="E311" s="20"/>
      <c r="F311" s="20"/>
      <c r="G311" s="20"/>
      <c r="H311" s="9">
        <f>H312+H320+H326</f>
        <v>5695.1</v>
      </c>
      <c r="I311" s="9">
        <f>I312+I320+I326</f>
        <v>5642.8</v>
      </c>
      <c r="J311" s="9">
        <f>J312+J320+J326</f>
        <v>-52.30000000000014</v>
      </c>
      <c r="K311" s="9">
        <f t="shared" si="36"/>
        <v>-0.9183333040684118</v>
      </c>
    </row>
    <row r="312" spans="1:11" s="21" customFormat="1" ht="25.5">
      <c r="A312" s="11" t="s">
        <v>86</v>
      </c>
      <c r="B312" s="20" t="s">
        <v>17</v>
      </c>
      <c r="C312" s="20" t="s">
        <v>1</v>
      </c>
      <c r="D312" s="20" t="s">
        <v>2</v>
      </c>
      <c r="E312" s="20"/>
      <c r="F312" s="20"/>
      <c r="G312" s="20"/>
      <c r="H312" s="9">
        <f aca="true" t="shared" si="43" ref="H312:J314">H313</f>
        <v>1758</v>
      </c>
      <c r="I312" s="9">
        <f t="shared" si="43"/>
        <v>1739.5</v>
      </c>
      <c r="J312" s="9">
        <f t="shared" si="43"/>
        <v>-18.499999999999954</v>
      </c>
      <c r="K312" s="9">
        <f t="shared" si="36"/>
        <v>-1.052332195676911</v>
      </c>
    </row>
    <row r="313" spans="1:11" s="21" customFormat="1" ht="25.5">
      <c r="A313" s="14" t="s">
        <v>98</v>
      </c>
      <c r="B313" s="20" t="s">
        <v>17</v>
      </c>
      <c r="C313" s="20" t="s">
        <v>1</v>
      </c>
      <c r="D313" s="20" t="s">
        <v>2</v>
      </c>
      <c r="E313" s="17">
        <v>71000</v>
      </c>
      <c r="F313" s="18" t="s">
        <v>141</v>
      </c>
      <c r="G313" s="20"/>
      <c r="H313" s="9">
        <f t="shared" si="43"/>
        <v>1758</v>
      </c>
      <c r="I313" s="9">
        <f t="shared" si="43"/>
        <v>1739.5</v>
      </c>
      <c r="J313" s="9">
        <f t="shared" si="43"/>
        <v>-18.499999999999954</v>
      </c>
      <c r="K313" s="9">
        <f t="shared" si="36"/>
        <v>-1.052332195676911</v>
      </c>
    </row>
    <row r="314" spans="1:11" s="21" customFormat="1" ht="25.5">
      <c r="A314" s="14" t="s">
        <v>142</v>
      </c>
      <c r="B314" s="20" t="s">
        <v>17</v>
      </c>
      <c r="C314" s="20" t="s">
        <v>1</v>
      </c>
      <c r="D314" s="20" t="s">
        <v>2</v>
      </c>
      <c r="E314" s="17">
        <v>71001</v>
      </c>
      <c r="F314" s="18" t="s">
        <v>141</v>
      </c>
      <c r="G314" s="20"/>
      <c r="H314" s="9">
        <f t="shared" si="43"/>
        <v>1758</v>
      </c>
      <c r="I314" s="9">
        <f t="shared" si="43"/>
        <v>1739.5</v>
      </c>
      <c r="J314" s="9">
        <f t="shared" si="43"/>
        <v>-18.499999999999954</v>
      </c>
      <c r="K314" s="9">
        <f t="shared" si="36"/>
        <v>-1.052332195676911</v>
      </c>
    </row>
    <row r="315" spans="1:11" s="21" customFormat="1" ht="12.75">
      <c r="A315" s="14" t="s">
        <v>143</v>
      </c>
      <c r="B315" s="20" t="s">
        <v>17</v>
      </c>
      <c r="C315" s="20" t="s">
        <v>1</v>
      </c>
      <c r="D315" s="20" t="s">
        <v>2</v>
      </c>
      <c r="E315" s="17">
        <v>71001</v>
      </c>
      <c r="F315" s="18" t="s">
        <v>144</v>
      </c>
      <c r="G315" s="20"/>
      <c r="H315" s="9">
        <f>H316+H318</f>
        <v>1758</v>
      </c>
      <c r="I315" s="9">
        <f>I316+I318</f>
        <v>1739.5</v>
      </c>
      <c r="J315" s="9">
        <f>J316+J318</f>
        <v>-18.499999999999954</v>
      </c>
      <c r="K315" s="9">
        <f t="shared" si="36"/>
        <v>-1.052332195676911</v>
      </c>
    </row>
    <row r="316" spans="1:11" s="21" customFormat="1" ht="51">
      <c r="A316" s="11" t="s">
        <v>58</v>
      </c>
      <c r="B316" s="20" t="s">
        <v>17</v>
      </c>
      <c r="C316" s="20" t="s">
        <v>1</v>
      </c>
      <c r="D316" s="20" t="s">
        <v>2</v>
      </c>
      <c r="E316" s="17">
        <v>71001</v>
      </c>
      <c r="F316" s="18" t="s">
        <v>144</v>
      </c>
      <c r="G316" s="20" t="s">
        <v>57</v>
      </c>
      <c r="H316" s="9">
        <f>H317</f>
        <v>1744.5</v>
      </c>
      <c r="I316" s="9">
        <f>I317</f>
        <v>1727.7</v>
      </c>
      <c r="J316" s="9">
        <f>J317</f>
        <v>-16.799999999999955</v>
      </c>
      <c r="K316" s="9">
        <f t="shared" si="36"/>
        <v>-0.9630266552020572</v>
      </c>
    </row>
    <row r="317" spans="1:11" s="21" customFormat="1" ht="25.5">
      <c r="A317" s="11" t="s">
        <v>60</v>
      </c>
      <c r="B317" s="20" t="s">
        <v>17</v>
      </c>
      <c r="C317" s="20" t="s">
        <v>1</v>
      </c>
      <c r="D317" s="20" t="s">
        <v>2</v>
      </c>
      <c r="E317" s="17">
        <v>71001</v>
      </c>
      <c r="F317" s="18" t="s">
        <v>144</v>
      </c>
      <c r="G317" s="20" t="s">
        <v>59</v>
      </c>
      <c r="H317" s="9">
        <f>1702.5+42</f>
        <v>1744.5</v>
      </c>
      <c r="I317" s="9">
        <v>1727.7</v>
      </c>
      <c r="J317" s="9">
        <f>I317-H317</f>
        <v>-16.799999999999955</v>
      </c>
      <c r="K317" s="9">
        <f t="shared" si="36"/>
        <v>-0.9630266552020572</v>
      </c>
    </row>
    <row r="318" spans="1:11" s="21" customFormat="1" ht="25.5">
      <c r="A318" s="11" t="s">
        <v>62</v>
      </c>
      <c r="B318" s="20" t="s">
        <v>17</v>
      </c>
      <c r="C318" s="20" t="s">
        <v>1</v>
      </c>
      <c r="D318" s="20" t="s">
        <v>2</v>
      </c>
      <c r="E318" s="17">
        <v>71001</v>
      </c>
      <c r="F318" s="18" t="s">
        <v>144</v>
      </c>
      <c r="G318" s="20" t="s">
        <v>61</v>
      </c>
      <c r="H318" s="9">
        <f>H319</f>
        <v>13.5</v>
      </c>
      <c r="I318" s="9">
        <f>I319</f>
        <v>11.8</v>
      </c>
      <c r="J318" s="9">
        <f>J319</f>
        <v>-1.6999999999999993</v>
      </c>
      <c r="K318" s="9">
        <f t="shared" si="36"/>
        <v>-12.592592592592595</v>
      </c>
    </row>
    <row r="319" spans="1:11" s="21" customFormat="1" ht="25.5">
      <c r="A319" s="11" t="s">
        <v>63</v>
      </c>
      <c r="B319" s="20" t="s">
        <v>17</v>
      </c>
      <c r="C319" s="20" t="s">
        <v>1</v>
      </c>
      <c r="D319" s="20" t="s">
        <v>2</v>
      </c>
      <c r="E319" s="17">
        <v>71001</v>
      </c>
      <c r="F319" s="18" t="s">
        <v>144</v>
      </c>
      <c r="G319" s="20" t="s">
        <v>17</v>
      </c>
      <c r="H319" s="9">
        <f>11+2.5</f>
        <v>13.5</v>
      </c>
      <c r="I319" s="9">
        <v>11.8</v>
      </c>
      <c r="J319" s="9">
        <f>I319-H319</f>
        <v>-1.6999999999999993</v>
      </c>
      <c r="K319" s="9">
        <f t="shared" si="36"/>
        <v>-12.592592592592595</v>
      </c>
    </row>
    <row r="320" spans="1:11" s="21" customFormat="1" ht="12.75">
      <c r="A320" s="11" t="s">
        <v>14</v>
      </c>
      <c r="B320" s="20" t="s">
        <v>17</v>
      </c>
      <c r="C320" s="20" t="s">
        <v>1</v>
      </c>
      <c r="D320" s="20" t="s">
        <v>47</v>
      </c>
      <c r="E320" s="20"/>
      <c r="F320" s="20"/>
      <c r="G320" s="20"/>
      <c r="H320" s="9">
        <f aca="true" t="shared" si="44" ref="H320:J324">H321</f>
        <v>30</v>
      </c>
      <c r="I320" s="9">
        <f t="shared" si="44"/>
        <v>0</v>
      </c>
      <c r="J320" s="9">
        <f t="shared" si="44"/>
        <v>-30</v>
      </c>
      <c r="K320" s="9">
        <f t="shared" si="36"/>
        <v>-100</v>
      </c>
    </row>
    <row r="321" spans="1:11" s="21" customFormat="1" ht="15">
      <c r="A321" s="11" t="s">
        <v>127</v>
      </c>
      <c r="B321" s="20" t="s">
        <v>17</v>
      </c>
      <c r="C321" s="20" t="s">
        <v>1</v>
      </c>
      <c r="D321" s="20" t="s">
        <v>47</v>
      </c>
      <c r="E321" s="27">
        <v>99000</v>
      </c>
      <c r="F321" s="28" t="s">
        <v>141</v>
      </c>
      <c r="G321" s="20"/>
      <c r="H321" s="9">
        <f t="shared" si="44"/>
        <v>30</v>
      </c>
      <c r="I321" s="9">
        <f t="shared" si="44"/>
        <v>0</v>
      </c>
      <c r="J321" s="9">
        <f t="shared" si="44"/>
        <v>-30</v>
      </c>
      <c r="K321" s="9">
        <f t="shared" si="36"/>
        <v>-100</v>
      </c>
    </row>
    <row r="322" spans="1:11" s="21" customFormat="1" ht="15">
      <c r="A322" s="11" t="s">
        <v>80</v>
      </c>
      <c r="B322" s="20" t="s">
        <v>17</v>
      </c>
      <c r="C322" s="20" t="s">
        <v>1</v>
      </c>
      <c r="D322" s="20" t="s">
        <v>47</v>
      </c>
      <c r="E322" s="27">
        <v>99400</v>
      </c>
      <c r="F322" s="28" t="s">
        <v>141</v>
      </c>
      <c r="G322" s="20"/>
      <c r="H322" s="9">
        <f t="shared" si="44"/>
        <v>30</v>
      </c>
      <c r="I322" s="9">
        <f t="shared" si="44"/>
        <v>0</v>
      </c>
      <c r="J322" s="9">
        <f t="shared" si="44"/>
        <v>-30</v>
      </c>
      <c r="K322" s="9">
        <f t="shared" si="36"/>
        <v>-100</v>
      </c>
    </row>
    <row r="323" spans="1:11" s="21" customFormat="1" ht="32.25" customHeight="1">
      <c r="A323" s="11" t="s">
        <v>207</v>
      </c>
      <c r="B323" s="20" t="s">
        <v>17</v>
      </c>
      <c r="C323" s="20" t="s">
        <v>1</v>
      </c>
      <c r="D323" s="20" t="s">
        <v>47</v>
      </c>
      <c r="E323" s="27">
        <v>99400</v>
      </c>
      <c r="F323" s="28" t="s">
        <v>208</v>
      </c>
      <c r="G323" s="20"/>
      <c r="H323" s="9">
        <f t="shared" si="44"/>
        <v>30</v>
      </c>
      <c r="I323" s="9">
        <f t="shared" si="44"/>
        <v>0</v>
      </c>
      <c r="J323" s="9">
        <f t="shared" si="44"/>
        <v>-30</v>
      </c>
      <c r="K323" s="9">
        <f t="shared" si="36"/>
        <v>-100</v>
      </c>
    </row>
    <row r="324" spans="1:11" s="21" customFormat="1" ht="15">
      <c r="A324" s="11" t="s">
        <v>66</v>
      </c>
      <c r="B324" s="20" t="s">
        <v>17</v>
      </c>
      <c r="C324" s="20" t="s">
        <v>1</v>
      </c>
      <c r="D324" s="20" t="s">
        <v>47</v>
      </c>
      <c r="E324" s="27">
        <v>99400</v>
      </c>
      <c r="F324" s="28" t="s">
        <v>208</v>
      </c>
      <c r="G324" s="20" t="s">
        <v>64</v>
      </c>
      <c r="H324" s="9">
        <f t="shared" si="44"/>
        <v>30</v>
      </c>
      <c r="I324" s="9">
        <f t="shared" si="44"/>
        <v>0</v>
      </c>
      <c r="J324" s="9">
        <f t="shared" si="44"/>
        <v>-30</v>
      </c>
      <c r="K324" s="9">
        <f t="shared" si="36"/>
        <v>-100</v>
      </c>
    </row>
    <row r="325" spans="1:11" s="21" customFormat="1" ht="51.75" customHeight="1">
      <c r="A325" s="11" t="s">
        <v>79</v>
      </c>
      <c r="B325" s="20" t="s">
        <v>17</v>
      </c>
      <c r="C325" s="20" t="s">
        <v>1</v>
      </c>
      <c r="D325" s="20" t="s">
        <v>47</v>
      </c>
      <c r="E325" s="27">
        <v>99400</v>
      </c>
      <c r="F325" s="28" t="s">
        <v>208</v>
      </c>
      <c r="G325" s="20" t="s">
        <v>78</v>
      </c>
      <c r="H325" s="9">
        <f>100-20-70+20</f>
        <v>30</v>
      </c>
      <c r="I325" s="9">
        <v>0</v>
      </c>
      <c r="J325" s="9">
        <f>I325-H325</f>
        <v>-30</v>
      </c>
      <c r="K325" s="9">
        <f t="shared" si="36"/>
        <v>-100</v>
      </c>
    </row>
    <row r="326" spans="1:11" s="21" customFormat="1" ht="12.75">
      <c r="A326" s="11" t="s">
        <v>25</v>
      </c>
      <c r="B326" s="20" t="s">
        <v>17</v>
      </c>
      <c r="C326" s="20" t="s">
        <v>1</v>
      </c>
      <c r="D326" s="20" t="s">
        <v>46</v>
      </c>
      <c r="E326" s="20"/>
      <c r="F326" s="20"/>
      <c r="G326" s="20"/>
      <c r="H326" s="9">
        <f aca="true" t="shared" si="45" ref="H326:J328">H327</f>
        <v>3907.1000000000004</v>
      </c>
      <c r="I326" s="9">
        <f t="shared" si="45"/>
        <v>3903.3</v>
      </c>
      <c r="J326" s="9">
        <f t="shared" si="45"/>
        <v>-3.800000000000182</v>
      </c>
      <c r="K326" s="9">
        <f t="shared" si="36"/>
        <v>-0.09725883647718092</v>
      </c>
    </row>
    <row r="327" spans="1:11" s="21" customFormat="1" ht="25.5">
      <c r="A327" s="14" t="s">
        <v>98</v>
      </c>
      <c r="B327" s="20" t="s">
        <v>17</v>
      </c>
      <c r="C327" s="20" t="s">
        <v>1</v>
      </c>
      <c r="D327" s="20" t="s">
        <v>46</v>
      </c>
      <c r="E327" s="17">
        <v>71000</v>
      </c>
      <c r="F327" s="18" t="s">
        <v>141</v>
      </c>
      <c r="G327" s="20"/>
      <c r="H327" s="9">
        <f t="shared" si="45"/>
        <v>3907.1000000000004</v>
      </c>
      <c r="I327" s="9">
        <f t="shared" si="45"/>
        <v>3903.3</v>
      </c>
      <c r="J327" s="9">
        <f t="shared" si="45"/>
        <v>-3.800000000000182</v>
      </c>
      <c r="K327" s="9">
        <f t="shared" si="36"/>
        <v>-0.09725883647718092</v>
      </c>
    </row>
    <row r="328" spans="1:11" s="21" customFormat="1" ht="25.5">
      <c r="A328" s="14" t="s">
        <v>142</v>
      </c>
      <c r="B328" s="20" t="s">
        <v>17</v>
      </c>
      <c r="C328" s="20" t="s">
        <v>1</v>
      </c>
      <c r="D328" s="20" t="s">
        <v>46</v>
      </c>
      <c r="E328" s="17">
        <v>71001</v>
      </c>
      <c r="F328" s="18" t="s">
        <v>141</v>
      </c>
      <c r="G328" s="20"/>
      <c r="H328" s="9">
        <f t="shared" si="45"/>
        <v>3907.1000000000004</v>
      </c>
      <c r="I328" s="9">
        <f t="shared" si="45"/>
        <v>3903.3</v>
      </c>
      <c r="J328" s="9">
        <f t="shared" si="45"/>
        <v>-3.800000000000182</v>
      </c>
      <c r="K328" s="9">
        <f t="shared" si="36"/>
        <v>-0.09725883647718092</v>
      </c>
    </row>
    <row r="329" spans="1:11" s="21" customFormat="1" ht="15" customHeight="1">
      <c r="A329" s="14" t="s">
        <v>143</v>
      </c>
      <c r="B329" s="20" t="s">
        <v>17</v>
      </c>
      <c r="C329" s="20" t="s">
        <v>1</v>
      </c>
      <c r="D329" s="20" t="s">
        <v>46</v>
      </c>
      <c r="E329" s="17">
        <v>71001</v>
      </c>
      <c r="F329" s="18" t="s">
        <v>144</v>
      </c>
      <c r="G329" s="20"/>
      <c r="H329" s="9">
        <f>H330+H332</f>
        <v>3907.1000000000004</v>
      </c>
      <c r="I329" s="9">
        <f>I330+I332</f>
        <v>3903.3</v>
      </c>
      <c r="J329" s="9">
        <f>J330+J332</f>
        <v>-3.800000000000182</v>
      </c>
      <c r="K329" s="9">
        <f t="shared" si="36"/>
        <v>-0.09725883647718092</v>
      </c>
    </row>
    <row r="330" spans="1:11" s="21" customFormat="1" ht="51">
      <c r="A330" s="11" t="s">
        <v>58</v>
      </c>
      <c r="B330" s="20" t="s">
        <v>17</v>
      </c>
      <c r="C330" s="20" t="s">
        <v>1</v>
      </c>
      <c r="D330" s="20" t="s">
        <v>46</v>
      </c>
      <c r="E330" s="17">
        <v>71001</v>
      </c>
      <c r="F330" s="18" t="s">
        <v>144</v>
      </c>
      <c r="G330" s="20" t="s">
        <v>57</v>
      </c>
      <c r="H330" s="9">
        <f>H331</f>
        <v>3904.6000000000004</v>
      </c>
      <c r="I330" s="9">
        <f>I331</f>
        <v>3903.3</v>
      </c>
      <c r="J330" s="9">
        <f>J331</f>
        <v>-1.300000000000182</v>
      </c>
      <c r="K330" s="9">
        <f aca="true" t="shared" si="46" ref="K330:K393">I330/H330*100-100</f>
        <v>-0.0332940634123986</v>
      </c>
    </row>
    <row r="331" spans="1:11" s="21" customFormat="1" ht="12.75">
      <c r="A331" s="11" t="s">
        <v>77</v>
      </c>
      <c r="B331" s="20" t="s">
        <v>17</v>
      </c>
      <c r="C331" s="20" t="s">
        <v>1</v>
      </c>
      <c r="D331" s="20" t="s">
        <v>46</v>
      </c>
      <c r="E331" s="17">
        <v>71001</v>
      </c>
      <c r="F331" s="18" t="s">
        <v>144</v>
      </c>
      <c r="G331" s="20" t="s">
        <v>76</v>
      </c>
      <c r="H331" s="9">
        <f>3334.9-2.5+572.2</f>
        <v>3904.6000000000004</v>
      </c>
      <c r="I331" s="9">
        <v>3903.3</v>
      </c>
      <c r="J331" s="9">
        <f>I331-H331</f>
        <v>-1.300000000000182</v>
      </c>
      <c r="K331" s="9">
        <f t="shared" si="46"/>
        <v>-0.0332940634123986</v>
      </c>
    </row>
    <row r="332" spans="1:11" s="21" customFormat="1" ht="25.5">
      <c r="A332" s="11" t="s">
        <v>62</v>
      </c>
      <c r="B332" s="20" t="s">
        <v>17</v>
      </c>
      <c r="C332" s="20" t="s">
        <v>1</v>
      </c>
      <c r="D332" s="20" t="s">
        <v>46</v>
      </c>
      <c r="E332" s="17">
        <v>71001</v>
      </c>
      <c r="F332" s="18" t="s">
        <v>144</v>
      </c>
      <c r="G332" s="20" t="s">
        <v>61</v>
      </c>
      <c r="H332" s="9">
        <f>H333</f>
        <v>2.5</v>
      </c>
      <c r="I332" s="9">
        <f>I333</f>
        <v>0</v>
      </c>
      <c r="J332" s="9">
        <f>J333</f>
        <v>-2.5</v>
      </c>
      <c r="K332" s="9">
        <f t="shared" si="46"/>
        <v>-100</v>
      </c>
    </row>
    <row r="333" spans="1:11" s="21" customFormat="1" ht="25.5">
      <c r="A333" s="11" t="s">
        <v>63</v>
      </c>
      <c r="B333" s="20" t="s">
        <v>17</v>
      </c>
      <c r="C333" s="20" t="s">
        <v>1</v>
      </c>
      <c r="D333" s="20" t="s">
        <v>46</v>
      </c>
      <c r="E333" s="17">
        <v>71001</v>
      </c>
      <c r="F333" s="18" t="s">
        <v>144</v>
      </c>
      <c r="G333" s="20" t="s">
        <v>17</v>
      </c>
      <c r="H333" s="9">
        <v>2.5</v>
      </c>
      <c r="I333" s="9">
        <v>0</v>
      </c>
      <c r="J333" s="9">
        <f>I333-H333</f>
        <v>-2.5</v>
      </c>
      <c r="K333" s="9">
        <f t="shared" si="46"/>
        <v>-100</v>
      </c>
    </row>
    <row r="334" spans="1:11" s="21" customFormat="1" ht="12.75">
      <c r="A334" s="11" t="s">
        <v>55</v>
      </c>
      <c r="B334" s="20" t="s">
        <v>17</v>
      </c>
      <c r="C334" s="20" t="s">
        <v>46</v>
      </c>
      <c r="D334" s="20"/>
      <c r="E334" s="20"/>
      <c r="F334" s="20"/>
      <c r="G334" s="20"/>
      <c r="H334" s="9">
        <f aca="true" t="shared" si="47" ref="H334:J338">H335</f>
        <v>7</v>
      </c>
      <c r="I334" s="9">
        <f t="shared" si="47"/>
        <v>7</v>
      </c>
      <c r="J334" s="9">
        <f t="shared" si="47"/>
        <v>0</v>
      </c>
      <c r="K334" s="9">
        <f t="shared" si="46"/>
        <v>0</v>
      </c>
    </row>
    <row r="335" spans="1:11" s="21" customFormat="1" ht="25.5">
      <c r="A335" s="11" t="s">
        <v>56</v>
      </c>
      <c r="B335" s="20" t="s">
        <v>17</v>
      </c>
      <c r="C335" s="20" t="s">
        <v>46</v>
      </c>
      <c r="D335" s="20" t="s">
        <v>1</v>
      </c>
      <c r="E335" s="20"/>
      <c r="F335" s="20"/>
      <c r="G335" s="20"/>
      <c r="H335" s="9">
        <f t="shared" si="47"/>
        <v>7</v>
      </c>
      <c r="I335" s="9">
        <f t="shared" si="47"/>
        <v>7</v>
      </c>
      <c r="J335" s="9">
        <f t="shared" si="47"/>
        <v>0</v>
      </c>
      <c r="K335" s="9">
        <f t="shared" si="46"/>
        <v>0</v>
      </c>
    </row>
    <row r="336" spans="1:11" s="21" customFormat="1" ht="27.75" customHeight="1">
      <c r="A336" s="11" t="s">
        <v>209</v>
      </c>
      <c r="B336" s="20" t="s">
        <v>17</v>
      </c>
      <c r="C336" s="20" t="s">
        <v>46</v>
      </c>
      <c r="D336" s="20" t="s">
        <v>1</v>
      </c>
      <c r="E336" s="15">
        <v>95000</v>
      </c>
      <c r="F336" s="16" t="s">
        <v>141</v>
      </c>
      <c r="G336" s="20"/>
      <c r="H336" s="9">
        <f t="shared" si="47"/>
        <v>7</v>
      </c>
      <c r="I336" s="9">
        <f t="shared" si="47"/>
        <v>7</v>
      </c>
      <c r="J336" s="9">
        <f t="shared" si="47"/>
        <v>0</v>
      </c>
      <c r="K336" s="9">
        <f t="shared" si="46"/>
        <v>0</v>
      </c>
    </row>
    <row r="337" spans="1:11" s="21" customFormat="1" ht="15">
      <c r="A337" s="11" t="s">
        <v>129</v>
      </c>
      <c r="B337" s="20" t="s">
        <v>17</v>
      </c>
      <c r="C337" s="20" t="s">
        <v>46</v>
      </c>
      <c r="D337" s="20" t="s">
        <v>1</v>
      </c>
      <c r="E337" s="15">
        <v>95000</v>
      </c>
      <c r="F337" s="16" t="s">
        <v>210</v>
      </c>
      <c r="G337" s="20"/>
      <c r="H337" s="9">
        <f t="shared" si="47"/>
        <v>7</v>
      </c>
      <c r="I337" s="9">
        <f t="shared" si="47"/>
        <v>7</v>
      </c>
      <c r="J337" s="9">
        <f t="shared" si="47"/>
        <v>0</v>
      </c>
      <c r="K337" s="9">
        <f t="shared" si="46"/>
        <v>0</v>
      </c>
    </row>
    <row r="338" spans="1:11" s="21" customFormat="1" ht="15">
      <c r="A338" s="11" t="s">
        <v>128</v>
      </c>
      <c r="B338" s="20" t="s">
        <v>17</v>
      </c>
      <c r="C338" s="20" t="s">
        <v>46</v>
      </c>
      <c r="D338" s="20" t="s">
        <v>1</v>
      </c>
      <c r="E338" s="15">
        <v>95000</v>
      </c>
      <c r="F338" s="16" t="s">
        <v>210</v>
      </c>
      <c r="G338" s="20" t="s">
        <v>82</v>
      </c>
      <c r="H338" s="9">
        <f t="shared" si="47"/>
        <v>7</v>
      </c>
      <c r="I338" s="9">
        <f t="shared" si="47"/>
        <v>7</v>
      </c>
      <c r="J338" s="9">
        <f t="shared" si="47"/>
        <v>0</v>
      </c>
      <c r="K338" s="9">
        <f t="shared" si="46"/>
        <v>0</v>
      </c>
    </row>
    <row r="339" spans="1:11" s="21" customFormat="1" ht="15">
      <c r="A339" s="11" t="s">
        <v>129</v>
      </c>
      <c r="B339" s="20" t="s">
        <v>17</v>
      </c>
      <c r="C339" s="20" t="s">
        <v>46</v>
      </c>
      <c r="D339" s="20" t="s">
        <v>1</v>
      </c>
      <c r="E339" s="15">
        <v>95000</v>
      </c>
      <c r="F339" s="16" t="s">
        <v>210</v>
      </c>
      <c r="G339" s="20" t="s">
        <v>81</v>
      </c>
      <c r="H339" s="9">
        <v>7</v>
      </c>
      <c r="I339" s="9">
        <v>7</v>
      </c>
      <c r="J339" s="9">
        <f>I339-H339</f>
        <v>0</v>
      </c>
      <c r="K339" s="9">
        <f t="shared" si="46"/>
        <v>0</v>
      </c>
    </row>
    <row r="340" spans="1:11" s="21" customFormat="1" ht="38.25">
      <c r="A340" s="22" t="s">
        <v>85</v>
      </c>
      <c r="B340" s="39" t="s">
        <v>34</v>
      </c>
      <c r="C340" s="19"/>
      <c r="D340" s="19"/>
      <c r="E340" s="19"/>
      <c r="F340" s="19"/>
      <c r="G340" s="19"/>
      <c r="H340" s="8">
        <f>H341+H488+H537+H529</f>
        <v>100462.09999999999</v>
      </c>
      <c r="I340" s="8">
        <f>I341+I488+I537+I529</f>
        <v>99555.6</v>
      </c>
      <c r="J340" s="8">
        <f>J341+J488+J537+J529</f>
        <v>-906.500000000006</v>
      </c>
      <c r="K340" s="9">
        <f t="shared" si="46"/>
        <v>-0.9023303315379536</v>
      </c>
    </row>
    <row r="341" spans="1:11" s="21" customFormat="1" ht="12.75">
      <c r="A341" s="11" t="s">
        <v>18</v>
      </c>
      <c r="B341" s="19" t="s">
        <v>34</v>
      </c>
      <c r="C341" s="19" t="s">
        <v>7</v>
      </c>
      <c r="D341" s="19"/>
      <c r="E341" s="19"/>
      <c r="F341" s="19"/>
      <c r="G341" s="19"/>
      <c r="H341" s="9">
        <f>H342+H381+H446+H456+H416</f>
        <v>86784.4</v>
      </c>
      <c r="I341" s="9">
        <f>I342+I381+I446+I456+I416</f>
        <v>86484.5</v>
      </c>
      <c r="J341" s="9">
        <f>J342+J381+J446+J456+J416</f>
        <v>-299.900000000006</v>
      </c>
      <c r="K341" s="9">
        <f t="shared" si="46"/>
        <v>-0.3455690193168266</v>
      </c>
    </row>
    <row r="342" spans="1:11" s="21" customFormat="1" ht="12.75">
      <c r="A342" s="11" t="s">
        <v>22</v>
      </c>
      <c r="B342" s="19" t="s">
        <v>34</v>
      </c>
      <c r="C342" s="19" t="s">
        <v>7</v>
      </c>
      <c r="D342" s="19" t="s">
        <v>1</v>
      </c>
      <c r="E342" s="19"/>
      <c r="F342" s="19"/>
      <c r="G342" s="19"/>
      <c r="H342" s="9">
        <f>H352+H376+H343</f>
        <v>39534.9</v>
      </c>
      <c r="I342" s="9">
        <f>I352+I376+I343</f>
        <v>39389.4</v>
      </c>
      <c r="J342" s="9">
        <f>J352+J376+J343</f>
        <v>-145.50000000000372</v>
      </c>
      <c r="K342" s="9">
        <f t="shared" si="46"/>
        <v>-0.36802926022325266</v>
      </c>
    </row>
    <row r="343" spans="1:11" s="21" customFormat="1" ht="25.5">
      <c r="A343" s="11" t="s">
        <v>245</v>
      </c>
      <c r="B343" s="20" t="s">
        <v>34</v>
      </c>
      <c r="C343" s="19" t="s">
        <v>7</v>
      </c>
      <c r="D343" s="19" t="s">
        <v>1</v>
      </c>
      <c r="E343" s="17">
        <v>76000</v>
      </c>
      <c r="F343" s="16" t="s">
        <v>141</v>
      </c>
      <c r="G343" s="20"/>
      <c r="H343" s="9">
        <f>H344+H348</f>
        <v>210</v>
      </c>
      <c r="I343" s="9">
        <f>I344+I348</f>
        <v>209.9</v>
      </c>
      <c r="J343" s="9">
        <f>J344+J348</f>
        <v>-0.10000000000000142</v>
      </c>
      <c r="K343" s="9">
        <f t="shared" si="46"/>
        <v>-0.04761904761903679</v>
      </c>
    </row>
    <row r="344" spans="1:11" s="21" customFormat="1" ht="25.5">
      <c r="A344" s="11" t="s">
        <v>246</v>
      </c>
      <c r="B344" s="20" t="s">
        <v>34</v>
      </c>
      <c r="C344" s="19" t="s">
        <v>7</v>
      </c>
      <c r="D344" s="19" t="s">
        <v>1</v>
      </c>
      <c r="E344" s="17">
        <v>76003</v>
      </c>
      <c r="F344" s="16" t="s">
        <v>141</v>
      </c>
      <c r="G344" s="20"/>
      <c r="H344" s="9">
        <f aca="true" t="shared" si="48" ref="H344:J346">H345</f>
        <v>60</v>
      </c>
      <c r="I344" s="9">
        <f t="shared" si="48"/>
        <v>59.9</v>
      </c>
      <c r="J344" s="9">
        <f t="shared" si="48"/>
        <v>-0.10000000000000142</v>
      </c>
      <c r="K344" s="9">
        <f t="shared" si="46"/>
        <v>-0.1666666666666714</v>
      </c>
    </row>
    <row r="345" spans="1:11" s="21" customFormat="1" ht="27.75" customHeight="1">
      <c r="A345" s="11" t="s">
        <v>247</v>
      </c>
      <c r="B345" s="20" t="s">
        <v>34</v>
      </c>
      <c r="C345" s="19" t="s">
        <v>7</v>
      </c>
      <c r="D345" s="19" t="s">
        <v>1</v>
      </c>
      <c r="E345" s="17">
        <v>76003</v>
      </c>
      <c r="F345" s="17">
        <v>99130</v>
      </c>
      <c r="G345" s="20"/>
      <c r="H345" s="9">
        <f t="shared" si="48"/>
        <v>60</v>
      </c>
      <c r="I345" s="9">
        <f t="shared" si="48"/>
        <v>59.9</v>
      </c>
      <c r="J345" s="9">
        <f t="shared" si="48"/>
        <v>-0.10000000000000142</v>
      </c>
      <c r="K345" s="9">
        <f t="shared" si="46"/>
        <v>-0.1666666666666714</v>
      </c>
    </row>
    <row r="346" spans="1:11" s="21" customFormat="1" ht="25.5">
      <c r="A346" s="11" t="s">
        <v>89</v>
      </c>
      <c r="B346" s="20" t="s">
        <v>34</v>
      </c>
      <c r="C346" s="19" t="s">
        <v>7</v>
      </c>
      <c r="D346" s="19" t="s">
        <v>1</v>
      </c>
      <c r="E346" s="17">
        <v>76003</v>
      </c>
      <c r="F346" s="17">
        <v>99130</v>
      </c>
      <c r="G346" s="19" t="s">
        <v>74</v>
      </c>
      <c r="H346" s="9">
        <f t="shared" si="48"/>
        <v>60</v>
      </c>
      <c r="I346" s="9">
        <f t="shared" si="48"/>
        <v>59.9</v>
      </c>
      <c r="J346" s="9">
        <f t="shared" si="48"/>
        <v>-0.10000000000000142</v>
      </c>
      <c r="K346" s="9">
        <f t="shared" si="46"/>
        <v>-0.1666666666666714</v>
      </c>
    </row>
    <row r="347" spans="1:11" s="21" customFormat="1" ht="12.75">
      <c r="A347" s="11" t="s">
        <v>92</v>
      </c>
      <c r="B347" s="20" t="s">
        <v>34</v>
      </c>
      <c r="C347" s="19" t="s">
        <v>7</v>
      </c>
      <c r="D347" s="19" t="s">
        <v>1</v>
      </c>
      <c r="E347" s="17">
        <v>76003</v>
      </c>
      <c r="F347" s="17">
        <v>99130</v>
      </c>
      <c r="G347" s="19" t="s">
        <v>75</v>
      </c>
      <c r="H347" s="9">
        <v>60</v>
      </c>
      <c r="I347" s="9">
        <v>59.9</v>
      </c>
      <c r="J347" s="9">
        <f>I347-H347</f>
        <v>-0.10000000000000142</v>
      </c>
      <c r="K347" s="9">
        <f t="shared" si="46"/>
        <v>-0.1666666666666714</v>
      </c>
    </row>
    <row r="348" spans="1:11" s="21" customFormat="1" ht="25.5">
      <c r="A348" s="11" t="s">
        <v>273</v>
      </c>
      <c r="B348" s="20" t="s">
        <v>34</v>
      </c>
      <c r="C348" s="19" t="s">
        <v>7</v>
      </c>
      <c r="D348" s="19" t="s">
        <v>1</v>
      </c>
      <c r="E348" s="17">
        <v>76004</v>
      </c>
      <c r="F348" s="16" t="s">
        <v>141</v>
      </c>
      <c r="G348" s="19"/>
      <c r="H348" s="9">
        <f aca="true" t="shared" si="49" ref="H348:J350">H349</f>
        <v>150</v>
      </c>
      <c r="I348" s="9">
        <f t="shared" si="49"/>
        <v>150</v>
      </c>
      <c r="J348" s="9">
        <f t="shared" si="49"/>
        <v>0</v>
      </c>
      <c r="K348" s="9">
        <f t="shared" si="46"/>
        <v>0</v>
      </c>
    </row>
    <row r="349" spans="1:11" s="21" customFormat="1" ht="25.5">
      <c r="A349" s="11" t="s">
        <v>274</v>
      </c>
      <c r="B349" s="20" t="s">
        <v>34</v>
      </c>
      <c r="C349" s="19" t="s">
        <v>7</v>
      </c>
      <c r="D349" s="19" t="s">
        <v>1</v>
      </c>
      <c r="E349" s="17">
        <v>76004</v>
      </c>
      <c r="F349" s="17">
        <v>69100</v>
      </c>
      <c r="G349" s="19"/>
      <c r="H349" s="9">
        <f t="shared" si="49"/>
        <v>150</v>
      </c>
      <c r="I349" s="9">
        <f t="shared" si="49"/>
        <v>150</v>
      </c>
      <c r="J349" s="9">
        <f t="shared" si="49"/>
        <v>0</v>
      </c>
      <c r="K349" s="9">
        <f t="shared" si="46"/>
        <v>0</v>
      </c>
    </row>
    <row r="350" spans="1:11" s="21" customFormat="1" ht="25.5">
      <c r="A350" s="11" t="s">
        <v>89</v>
      </c>
      <c r="B350" s="20" t="s">
        <v>34</v>
      </c>
      <c r="C350" s="19" t="s">
        <v>7</v>
      </c>
      <c r="D350" s="19" t="s">
        <v>1</v>
      </c>
      <c r="E350" s="17">
        <v>76004</v>
      </c>
      <c r="F350" s="17">
        <v>69100</v>
      </c>
      <c r="G350" s="19" t="s">
        <v>74</v>
      </c>
      <c r="H350" s="9">
        <f t="shared" si="49"/>
        <v>150</v>
      </c>
      <c r="I350" s="9">
        <f t="shared" si="49"/>
        <v>150</v>
      </c>
      <c r="J350" s="9">
        <f t="shared" si="49"/>
        <v>0</v>
      </c>
      <c r="K350" s="9">
        <f t="shared" si="46"/>
        <v>0</v>
      </c>
    </row>
    <row r="351" spans="1:11" s="21" customFormat="1" ht="25.5" customHeight="1">
      <c r="A351" s="11" t="s">
        <v>92</v>
      </c>
      <c r="B351" s="20" t="s">
        <v>34</v>
      </c>
      <c r="C351" s="19" t="s">
        <v>7</v>
      </c>
      <c r="D351" s="19" t="s">
        <v>1</v>
      </c>
      <c r="E351" s="17">
        <v>76004</v>
      </c>
      <c r="F351" s="17">
        <v>69100</v>
      </c>
      <c r="G351" s="19" t="s">
        <v>75</v>
      </c>
      <c r="H351" s="9">
        <v>150</v>
      </c>
      <c r="I351" s="9">
        <v>150</v>
      </c>
      <c r="J351" s="9">
        <f>I351-H351</f>
        <v>0</v>
      </c>
      <c r="K351" s="9">
        <f t="shared" si="46"/>
        <v>0</v>
      </c>
    </row>
    <row r="352" spans="1:11" s="21" customFormat="1" ht="15">
      <c r="A352" s="11" t="s">
        <v>103</v>
      </c>
      <c r="B352" s="19" t="s">
        <v>34</v>
      </c>
      <c r="C352" s="19" t="s">
        <v>7</v>
      </c>
      <c r="D352" s="19" t="s">
        <v>1</v>
      </c>
      <c r="E352" s="30">
        <v>77000</v>
      </c>
      <c r="F352" s="18" t="s">
        <v>141</v>
      </c>
      <c r="G352" s="19"/>
      <c r="H352" s="9">
        <f>H353</f>
        <v>39254.9</v>
      </c>
      <c r="I352" s="9">
        <f>I353</f>
        <v>39109.5</v>
      </c>
      <c r="J352" s="9">
        <f>J353</f>
        <v>-145.40000000000373</v>
      </c>
      <c r="K352" s="9">
        <f t="shared" si="46"/>
        <v>-0.3703996189010894</v>
      </c>
    </row>
    <row r="353" spans="1:11" s="21" customFormat="1" ht="25.5" customHeight="1">
      <c r="A353" s="11" t="s">
        <v>110</v>
      </c>
      <c r="B353" s="19" t="s">
        <v>34</v>
      </c>
      <c r="C353" s="19" t="s">
        <v>7</v>
      </c>
      <c r="D353" s="19" t="s">
        <v>1</v>
      </c>
      <c r="E353" s="30">
        <v>77100</v>
      </c>
      <c r="F353" s="18" t="s">
        <v>141</v>
      </c>
      <c r="G353" s="19"/>
      <c r="H353" s="9">
        <f>H354+H358+H372+H368</f>
        <v>39254.9</v>
      </c>
      <c r="I353" s="9">
        <f>I354+I358+I372+I368</f>
        <v>39109.5</v>
      </c>
      <c r="J353" s="9">
        <f>J354+J358+J372+J368</f>
        <v>-145.40000000000373</v>
      </c>
      <c r="K353" s="9">
        <f t="shared" si="46"/>
        <v>-0.3703996189010894</v>
      </c>
    </row>
    <row r="354" spans="1:11" s="21" customFormat="1" ht="25.5">
      <c r="A354" s="11" t="s">
        <v>211</v>
      </c>
      <c r="B354" s="19" t="s">
        <v>34</v>
      </c>
      <c r="C354" s="19" t="s">
        <v>7</v>
      </c>
      <c r="D354" s="19" t="s">
        <v>1</v>
      </c>
      <c r="E354" s="30">
        <v>77101</v>
      </c>
      <c r="F354" s="18" t="s">
        <v>141</v>
      </c>
      <c r="G354" s="19"/>
      <c r="H354" s="9">
        <f aca="true" t="shared" si="50" ref="H354:J356">H355</f>
        <v>25127.100000000002</v>
      </c>
      <c r="I354" s="9">
        <f t="shared" si="50"/>
        <v>25121.6</v>
      </c>
      <c r="J354" s="9">
        <f t="shared" si="50"/>
        <v>-5.500000000003638</v>
      </c>
      <c r="K354" s="9">
        <f t="shared" si="46"/>
        <v>-0.021888717758926646</v>
      </c>
    </row>
    <row r="355" spans="1:11" s="21" customFormat="1" ht="25.5">
      <c r="A355" s="11" t="s">
        <v>118</v>
      </c>
      <c r="B355" s="19" t="s">
        <v>34</v>
      </c>
      <c r="C355" s="19" t="s">
        <v>7</v>
      </c>
      <c r="D355" s="19" t="s">
        <v>1</v>
      </c>
      <c r="E355" s="30">
        <v>77101</v>
      </c>
      <c r="F355" s="29">
        <v>76700</v>
      </c>
      <c r="G355" s="19"/>
      <c r="H355" s="9">
        <f t="shared" si="50"/>
        <v>25127.100000000002</v>
      </c>
      <c r="I355" s="9">
        <f t="shared" si="50"/>
        <v>25121.6</v>
      </c>
      <c r="J355" s="9">
        <f t="shared" si="50"/>
        <v>-5.500000000003638</v>
      </c>
      <c r="K355" s="9">
        <f t="shared" si="46"/>
        <v>-0.021888717758926646</v>
      </c>
    </row>
    <row r="356" spans="1:11" s="21" customFormat="1" ht="25.5" customHeight="1">
      <c r="A356" s="11" t="s">
        <v>89</v>
      </c>
      <c r="B356" s="19" t="s">
        <v>34</v>
      </c>
      <c r="C356" s="19" t="s">
        <v>7</v>
      </c>
      <c r="D356" s="19" t="s">
        <v>1</v>
      </c>
      <c r="E356" s="30">
        <v>77101</v>
      </c>
      <c r="F356" s="29">
        <v>76700</v>
      </c>
      <c r="G356" s="19" t="s">
        <v>74</v>
      </c>
      <c r="H356" s="9">
        <f t="shared" si="50"/>
        <v>25127.100000000002</v>
      </c>
      <c r="I356" s="9">
        <f t="shared" si="50"/>
        <v>25121.6</v>
      </c>
      <c r="J356" s="9">
        <f t="shared" si="50"/>
        <v>-5.500000000003638</v>
      </c>
      <c r="K356" s="9">
        <f t="shared" si="46"/>
        <v>-0.021888717758926646</v>
      </c>
    </row>
    <row r="357" spans="1:11" s="21" customFormat="1" ht="15">
      <c r="A357" s="11" t="s">
        <v>92</v>
      </c>
      <c r="B357" s="19" t="s">
        <v>34</v>
      </c>
      <c r="C357" s="19" t="s">
        <v>7</v>
      </c>
      <c r="D357" s="19" t="s">
        <v>1</v>
      </c>
      <c r="E357" s="30">
        <v>77101</v>
      </c>
      <c r="F357" s="29">
        <v>76700</v>
      </c>
      <c r="G357" s="19" t="s">
        <v>75</v>
      </c>
      <c r="H357" s="9">
        <f>25402.9-275.8</f>
        <v>25127.100000000002</v>
      </c>
      <c r="I357" s="9">
        <v>25121.6</v>
      </c>
      <c r="J357" s="9">
        <f>I357-H357</f>
        <v>-5.500000000003638</v>
      </c>
      <c r="K357" s="9">
        <f t="shared" si="46"/>
        <v>-0.021888717758926646</v>
      </c>
    </row>
    <row r="358" spans="1:11" s="21" customFormat="1" ht="14.25" customHeight="1">
      <c r="A358" s="11" t="s">
        <v>212</v>
      </c>
      <c r="B358" s="19" t="s">
        <v>34</v>
      </c>
      <c r="C358" s="19" t="s">
        <v>7</v>
      </c>
      <c r="D358" s="19" t="s">
        <v>1</v>
      </c>
      <c r="E358" s="30">
        <v>77102</v>
      </c>
      <c r="F358" s="18" t="s">
        <v>141</v>
      </c>
      <c r="G358" s="19"/>
      <c r="H358" s="9">
        <f>H359+H362+H365</f>
        <v>13711.6</v>
      </c>
      <c r="I358" s="9">
        <f>I359+I362+I365</f>
        <v>13580.4</v>
      </c>
      <c r="J358" s="9">
        <f>J359+J362+J365</f>
        <v>-131.20000000000005</v>
      </c>
      <c r="K358" s="9">
        <f t="shared" si="46"/>
        <v>-0.9568540505849086</v>
      </c>
    </row>
    <row r="359" spans="1:11" s="21" customFormat="1" ht="25.5">
      <c r="A359" s="11" t="s">
        <v>117</v>
      </c>
      <c r="B359" s="19" t="s">
        <v>34</v>
      </c>
      <c r="C359" s="19" t="s">
        <v>7</v>
      </c>
      <c r="D359" s="19" t="s">
        <v>1</v>
      </c>
      <c r="E359" s="30">
        <v>77102</v>
      </c>
      <c r="F359" s="18" t="s">
        <v>206</v>
      </c>
      <c r="G359" s="19"/>
      <c r="H359" s="9">
        <f aca="true" t="shared" si="51" ref="H359:J360">H360</f>
        <v>12664.2</v>
      </c>
      <c r="I359" s="9">
        <f t="shared" si="51"/>
        <v>12664.2</v>
      </c>
      <c r="J359" s="9">
        <f t="shared" si="51"/>
        <v>0</v>
      </c>
      <c r="K359" s="9">
        <f t="shared" si="46"/>
        <v>0</v>
      </c>
    </row>
    <row r="360" spans="1:11" s="21" customFormat="1" ht="25.5">
      <c r="A360" s="11" t="s">
        <v>89</v>
      </c>
      <c r="B360" s="19" t="s">
        <v>34</v>
      </c>
      <c r="C360" s="19" t="s">
        <v>7</v>
      </c>
      <c r="D360" s="19" t="s">
        <v>1</v>
      </c>
      <c r="E360" s="30">
        <v>77102</v>
      </c>
      <c r="F360" s="18" t="s">
        <v>206</v>
      </c>
      <c r="G360" s="19" t="s">
        <v>74</v>
      </c>
      <c r="H360" s="9">
        <f t="shared" si="51"/>
        <v>12664.2</v>
      </c>
      <c r="I360" s="9">
        <f t="shared" si="51"/>
        <v>12664.2</v>
      </c>
      <c r="J360" s="9">
        <f t="shared" si="51"/>
        <v>0</v>
      </c>
      <c r="K360" s="9">
        <f t="shared" si="46"/>
        <v>0</v>
      </c>
    </row>
    <row r="361" spans="1:11" s="21" customFormat="1" ht="15" customHeight="1">
      <c r="A361" s="11" t="s">
        <v>92</v>
      </c>
      <c r="B361" s="19" t="s">
        <v>34</v>
      </c>
      <c r="C361" s="19" t="s">
        <v>7</v>
      </c>
      <c r="D361" s="19" t="s">
        <v>1</v>
      </c>
      <c r="E361" s="30">
        <v>77102</v>
      </c>
      <c r="F361" s="18" t="s">
        <v>206</v>
      </c>
      <c r="G361" s="19" t="s">
        <v>75</v>
      </c>
      <c r="H361" s="9">
        <f>13447.9-783.8+0.1</f>
        <v>12664.2</v>
      </c>
      <c r="I361" s="9">
        <v>12664.2</v>
      </c>
      <c r="J361" s="9">
        <f>I361-H361</f>
        <v>0</v>
      </c>
      <c r="K361" s="9">
        <f t="shared" si="46"/>
        <v>0</v>
      </c>
    </row>
    <row r="362" spans="1:11" s="21" customFormat="1" ht="38.25">
      <c r="A362" s="11" t="s">
        <v>119</v>
      </c>
      <c r="B362" s="19" t="s">
        <v>34</v>
      </c>
      <c r="C362" s="19" t="s">
        <v>7</v>
      </c>
      <c r="D362" s="19" t="s">
        <v>1</v>
      </c>
      <c r="E362" s="30">
        <v>77102</v>
      </c>
      <c r="F362" s="29">
        <v>76900</v>
      </c>
      <c r="G362" s="19"/>
      <c r="H362" s="9">
        <f aca="true" t="shared" si="52" ref="H362:J363">H363</f>
        <v>292.9</v>
      </c>
      <c r="I362" s="9">
        <f t="shared" si="52"/>
        <v>292.9</v>
      </c>
      <c r="J362" s="9">
        <f t="shared" si="52"/>
        <v>0</v>
      </c>
      <c r="K362" s="9">
        <f t="shared" si="46"/>
        <v>0</v>
      </c>
    </row>
    <row r="363" spans="1:11" s="21" customFormat="1" ht="25.5" customHeight="1">
      <c r="A363" s="11" t="s">
        <v>89</v>
      </c>
      <c r="B363" s="19" t="s">
        <v>34</v>
      </c>
      <c r="C363" s="19" t="s">
        <v>7</v>
      </c>
      <c r="D363" s="19" t="s">
        <v>1</v>
      </c>
      <c r="E363" s="30">
        <v>77102</v>
      </c>
      <c r="F363" s="29">
        <v>76900</v>
      </c>
      <c r="G363" s="19" t="s">
        <v>74</v>
      </c>
      <c r="H363" s="9">
        <f t="shared" si="52"/>
        <v>292.9</v>
      </c>
      <c r="I363" s="9">
        <f t="shared" si="52"/>
        <v>292.9</v>
      </c>
      <c r="J363" s="9">
        <f t="shared" si="52"/>
        <v>0</v>
      </c>
      <c r="K363" s="9">
        <f t="shared" si="46"/>
        <v>0</v>
      </c>
    </row>
    <row r="364" spans="1:11" s="21" customFormat="1" ht="12.75" customHeight="1">
      <c r="A364" s="11" t="s">
        <v>92</v>
      </c>
      <c r="B364" s="19" t="s">
        <v>34</v>
      </c>
      <c r="C364" s="19" t="s">
        <v>7</v>
      </c>
      <c r="D364" s="19" t="s">
        <v>1</v>
      </c>
      <c r="E364" s="30">
        <v>77102</v>
      </c>
      <c r="F364" s="29">
        <v>76900</v>
      </c>
      <c r="G364" s="19" t="s">
        <v>75</v>
      </c>
      <c r="H364" s="9">
        <v>292.9</v>
      </c>
      <c r="I364" s="9">
        <v>292.9</v>
      </c>
      <c r="J364" s="9">
        <f>I364-H364</f>
        <v>0</v>
      </c>
      <c r="K364" s="9">
        <f t="shared" si="46"/>
        <v>0</v>
      </c>
    </row>
    <row r="365" spans="1:11" s="21" customFormat="1" ht="12.75" customHeight="1">
      <c r="A365" s="11" t="s">
        <v>120</v>
      </c>
      <c r="B365" s="19" t="s">
        <v>34</v>
      </c>
      <c r="C365" s="19" t="s">
        <v>7</v>
      </c>
      <c r="D365" s="19" t="s">
        <v>1</v>
      </c>
      <c r="E365" s="30">
        <v>77102</v>
      </c>
      <c r="F365" s="17">
        <v>99150</v>
      </c>
      <c r="G365" s="19"/>
      <c r="H365" s="9">
        <f aca="true" t="shared" si="53" ref="H365:J366">H366</f>
        <v>754.5</v>
      </c>
      <c r="I365" s="9">
        <f t="shared" si="53"/>
        <v>623.3</v>
      </c>
      <c r="J365" s="9">
        <f t="shared" si="53"/>
        <v>-131.20000000000005</v>
      </c>
      <c r="K365" s="9">
        <f t="shared" si="46"/>
        <v>-17.388999337309485</v>
      </c>
    </row>
    <row r="366" spans="1:11" s="21" customFormat="1" ht="12.75" customHeight="1">
      <c r="A366" s="11" t="s">
        <v>89</v>
      </c>
      <c r="B366" s="19" t="s">
        <v>34</v>
      </c>
      <c r="C366" s="19" t="s">
        <v>7</v>
      </c>
      <c r="D366" s="19" t="s">
        <v>1</v>
      </c>
      <c r="E366" s="30">
        <v>77102</v>
      </c>
      <c r="F366" s="17">
        <v>99150</v>
      </c>
      <c r="G366" s="19" t="s">
        <v>74</v>
      </c>
      <c r="H366" s="9">
        <f t="shared" si="53"/>
        <v>754.5</v>
      </c>
      <c r="I366" s="9">
        <f t="shared" si="53"/>
        <v>623.3</v>
      </c>
      <c r="J366" s="9">
        <f t="shared" si="53"/>
        <v>-131.20000000000005</v>
      </c>
      <c r="K366" s="9">
        <f t="shared" si="46"/>
        <v>-17.388999337309485</v>
      </c>
    </row>
    <row r="367" spans="1:11" s="21" customFormat="1" ht="12.75" customHeight="1">
      <c r="A367" s="11" t="s">
        <v>92</v>
      </c>
      <c r="B367" s="19" t="s">
        <v>34</v>
      </c>
      <c r="C367" s="19" t="s">
        <v>7</v>
      </c>
      <c r="D367" s="19" t="s">
        <v>1</v>
      </c>
      <c r="E367" s="30">
        <v>77102</v>
      </c>
      <c r="F367" s="17">
        <v>99150</v>
      </c>
      <c r="G367" s="19" t="s">
        <v>75</v>
      </c>
      <c r="H367" s="9">
        <f>1080-43.2-152.3-130</f>
        <v>754.5</v>
      </c>
      <c r="I367" s="9">
        <v>623.3</v>
      </c>
      <c r="J367" s="9">
        <f>I367-H367</f>
        <v>-131.20000000000005</v>
      </c>
      <c r="K367" s="9">
        <f t="shared" si="46"/>
        <v>-17.388999337309485</v>
      </c>
    </row>
    <row r="368" spans="1:11" s="21" customFormat="1" ht="12" customHeight="1">
      <c r="A368" s="11" t="s">
        <v>275</v>
      </c>
      <c r="B368" s="19" t="s">
        <v>34</v>
      </c>
      <c r="C368" s="19" t="s">
        <v>7</v>
      </c>
      <c r="D368" s="19" t="s">
        <v>1</v>
      </c>
      <c r="E368" s="30">
        <v>77103</v>
      </c>
      <c r="F368" s="18" t="s">
        <v>141</v>
      </c>
      <c r="G368" s="19"/>
      <c r="H368" s="9">
        <f aca="true" t="shared" si="54" ref="H368:J370">H369</f>
        <v>400.20000000000005</v>
      </c>
      <c r="I368" s="9">
        <f t="shared" si="54"/>
        <v>399</v>
      </c>
      <c r="J368" s="9">
        <f t="shared" si="54"/>
        <v>-1.2000000000000455</v>
      </c>
      <c r="K368" s="9">
        <f t="shared" si="46"/>
        <v>-0.2998500749625208</v>
      </c>
    </row>
    <row r="369" spans="1:11" s="21" customFormat="1" ht="25.5">
      <c r="A369" s="11" t="s">
        <v>276</v>
      </c>
      <c r="B369" s="19" t="s">
        <v>34</v>
      </c>
      <c r="C369" s="19" t="s">
        <v>7</v>
      </c>
      <c r="D369" s="19" t="s">
        <v>1</v>
      </c>
      <c r="E369" s="30">
        <v>77103</v>
      </c>
      <c r="F369" s="17">
        <v>69100</v>
      </c>
      <c r="G369" s="19"/>
      <c r="H369" s="9">
        <f t="shared" si="54"/>
        <v>400.20000000000005</v>
      </c>
      <c r="I369" s="9">
        <f t="shared" si="54"/>
        <v>399</v>
      </c>
      <c r="J369" s="9">
        <f t="shared" si="54"/>
        <v>-1.2000000000000455</v>
      </c>
      <c r="K369" s="9">
        <f t="shared" si="46"/>
        <v>-0.2998500749625208</v>
      </c>
    </row>
    <row r="370" spans="1:11" s="21" customFormat="1" ht="12.75" customHeight="1">
      <c r="A370" s="11" t="s">
        <v>89</v>
      </c>
      <c r="B370" s="19" t="s">
        <v>34</v>
      </c>
      <c r="C370" s="19" t="s">
        <v>7</v>
      </c>
      <c r="D370" s="19" t="s">
        <v>1</v>
      </c>
      <c r="E370" s="30">
        <v>77103</v>
      </c>
      <c r="F370" s="17">
        <v>69100</v>
      </c>
      <c r="G370" s="19" t="s">
        <v>74</v>
      </c>
      <c r="H370" s="9">
        <f t="shared" si="54"/>
        <v>400.20000000000005</v>
      </c>
      <c r="I370" s="9">
        <f t="shared" si="54"/>
        <v>399</v>
      </c>
      <c r="J370" s="9">
        <f t="shared" si="54"/>
        <v>-1.2000000000000455</v>
      </c>
      <c r="K370" s="9">
        <f t="shared" si="46"/>
        <v>-0.2998500749625208</v>
      </c>
    </row>
    <row r="371" spans="1:11" s="21" customFormat="1" ht="12.75" customHeight="1">
      <c r="A371" s="11" t="s">
        <v>92</v>
      </c>
      <c r="B371" s="19" t="s">
        <v>34</v>
      </c>
      <c r="C371" s="19" t="s">
        <v>7</v>
      </c>
      <c r="D371" s="19" t="s">
        <v>1</v>
      </c>
      <c r="E371" s="30">
        <v>77103</v>
      </c>
      <c r="F371" s="17">
        <v>69100</v>
      </c>
      <c r="G371" s="19" t="s">
        <v>75</v>
      </c>
      <c r="H371" s="9">
        <f>890.2+1151.7-1151.7-490</f>
        <v>400.20000000000005</v>
      </c>
      <c r="I371" s="9">
        <v>399</v>
      </c>
      <c r="J371" s="9">
        <f>I371-H371</f>
        <v>-1.2000000000000455</v>
      </c>
      <c r="K371" s="9">
        <f t="shared" si="46"/>
        <v>-0.2998500749625208</v>
      </c>
    </row>
    <row r="372" spans="1:11" s="21" customFormat="1" ht="38.25">
      <c r="A372" s="32" t="s">
        <v>213</v>
      </c>
      <c r="B372" s="19" t="s">
        <v>34</v>
      </c>
      <c r="C372" s="19" t="s">
        <v>7</v>
      </c>
      <c r="D372" s="19" t="s">
        <v>1</v>
      </c>
      <c r="E372" s="30">
        <v>77104</v>
      </c>
      <c r="F372" s="18" t="s">
        <v>141</v>
      </c>
      <c r="G372" s="19"/>
      <c r="H372" s="9">
        <f aca="true" t="shared" si="55" ref="H372:J374">H373</f>
        <v>16</v>
      </c>
      <c r="I372" s="9">
        <f t="shared" si="55"/>
        <v>8.5</v>
      </c>
      <c r="J372" s="9">
        <f t="shared" si="55"/>
        <v>-7.5</v>
      </c>
      <c r="K372" s="9">
        <f t="shared" si="46"/>
        <v>-46.875</v>
      </c>
    </row>
    <row r="373" spans="1:11" s="21" customFormat="1" ht="15.75" customHeight="1">
      <c r="A373" s="32" t="s">
        <v>214</v>
      </c>
      <c r="B373" s="19" t="s">
        <v>34</v>
      </c>
      <c r="C373" s="19" t="s">
        <v>7</v>
      </c>
      <c r="D373" s="19" t="s">
        <v>1</v>
      </c>
      <c r="E373" s="30">
        <v>77104</v>
      </c>
      <c r="F373" s="17">
        <v>99160</v>
      </c>
      <c r="G373" s="19"/>
      <c r="H373" s="9">
        <f t="shared" si="55"/>
        <v>16</v>
      </c>
      <c r="I373" s="9">
        <f t="shared" si="55"/>
        <v>8.5</v>
      </c>
      <c r="J373" s="9">
        <f t="shared" si="55"/>
        <v>-7.5</v>
      </c>
      <c r="K373" s="9">
        <f t="shared" si="46"/>
        <v>-46.875</v>
      </c>
    </row>
    <row r="374" spans="1:11" s="21" customFormat="1" ht="25.5" customHeight="1">
      <c r="A374" s="11" t="s">
        <v>62</v>
      </c>
      <c r="B374" s="19" t="s">
        <v>34</v>
      </c>
      <c r="C374" s="19" t="s">
        <v>7</v>
      </c>
      <c r="D374" s="19" t="s">
        <v>1</v>
      </c>
      <c r="E374" s="30">
        <v>77104</v>
      </c>
      <c r="F374" s="17">
        <v>99160</v>
      </c>
      <c r="G374" s="19" t="s">
        <v>61</v>
      </c>
      <c r="H374" s="9">
        <f t="shared" si="55"/>
        <v>16</v>
      </c>
      <c r="I374" s="9">
        <f t="shared" si="55"/>
        <v>8.5</v>
      </c>
      <c r="J374" s="9">
        <f t="shared" si="55"/>
        <v>-7.5</v>
      </c>
      <c r="K374" s="9">
        <f t="shared" si="46"/>
        <v>-46.875</v>
      </c>
    </row>
    <row r="375" spans="1:11" s="21" customFormat="1" ht="25.5" customHeight="1">
      <c r="A375" s="11" t="s">
        <v>63</v>
      </c>
      <c r="B375" s="19" t="s">
        <v>34</v>
      </c>
      <c r="C375" s="19" t="s">
        <v>7</v>
      </c>
      <c r="D375" s="19" t="s">
        <v>1</v>
      </c>
      <c r="E375" s="30">
        <v>77104</v>
      </c>
      <c r="F375" s="17">
        <v>99160</v>
      </c>
      <c r="G375" s="19" t="s">
        <v>17</v>
      </c>
      <c r="H375" s="9">
        <v>16</v>
      </c>
      <c r="I375" s="9">
        <v>8.5</v>
      </c>
      <c r="J375" s="9">
        <f>I375-H375</f>
        <v>-7.5</v>
      </c>
      <c r="K375" s="9">
        <f t="shared" si="46"/>
        <v>-46.875</v>
      </c>
    </row>
    <row r="376" spans="1:11" s="21" customFormat="1" ht="15">
      <c r="A376" s="11" t="s">
        <v>127</v>
      </c>
      <c r="B376" s="19" t="s">
        <v>34</v>
      </c>
      <c r="C376" s="19" t="s">
        <v>7</v>
      </c>
      <c r="D376" s="19" t="s">
        <v>1</v>
      </c>
      <c r="E376" s="30">
        <v>99000</v>
      </c>
      <c r="F376" s="17"/>
      <c r="G376" s="19"/>
      <c r="H376" s="9">
        <f aca="true" t="shared" si="56" ref="H376:J379">H377</f>
        <v>70</v>
      </c>
      <c r="I376" s="9">
        <f t="shared" si="56"/>
        <v>70</v>
      </c>
      <c r="J376" s="9">
        <f t="shared" si="56"/>
        <v>0</v>
      </c>
      <c r="K376" s="9">
        <f t="shared" si="46"/>
        <v>0</v>
      </c>
    </row>
    <row r="377" spans="1:11" s="21" customFormat="1" ht="25.5" customHeight="1">
      <c r="A377" s="11" t="s">
        <v>130</v>
      </c>
      <c r="B377" s="19" t="s">
        <v>34</v>
      </c>
      <c r="C377" s="19" t="s">
        <v>7</v>
      </c>
      <c r="D377" s="19" t="s">
        <v>1</v>
      </c>
      <c r="E377" s="30">
        <v>99300</v>
      </c>
      <c r="F377" s="17"/>
      <c r="G377" s="19"/>
      <c r="H377" s="9">
        <f t="shared" si="56"/>
        <v>70</v>
      </c>
      <c r="I377" s="9">
        <f t="shared" si="56"/>
        <v>70</v>
      </c>
      <c r="J377" s="9">
        <f t="shared" si="56"/>
        <v>0</v>
      </c>
      <c r="K377" s="9">
        <f t="shared" si="46"/>
        <v>0</v>
      </c>
    </row>
    <row r="378" spans="1:11" s="21" customFormat="1" ht="25.5" customHeight="1">
      <c r="A378" s="36" t="s">
        <v>250</v>
      </c>
      <c r="B378" s="19" t="s">
        <v>34</v>
      </c>
      <c r="C378" s="19" t="s">
        <v>7</v>
      </c>
      <c r="D378" s="19" t="s">
        <v>1</v>
      </c>
      <c r="E378" s="30">
        <v>99300</v>
      </c>
      <c r="F378" s="17">
        <v>99050</v>
      </c>
      <c r="G378" s="19"/>
      <c r="H378" s="9">
        <f t="shared" si="56"/>
        <v>70</v>
      </c>
      <c r="I378" s="9">
        <f t="shared" si="56"/>
        <v>70</v>
      </c>
      <c r="J378" s="9">
        <f t="shared" si="56"/>
        <v>0</v>
      </c>
      <c r="K378" s="9">
        <f t="shared" si="46"/>
        <v>0</v>
      </c>
    </row>
    <row r="379" spans="1:11" s="21" customFormat="1" ht="25.5" customHeight="1">
      <c r="A379" s="11" t="s">
        <v>89</v>
      </c>
      <c r="B379" s="19" t="s">
        <v>34</v>
      </c>
      <c r="C379" s="19" t="s">
        <v>7</v>
      </c>
      <c r="D379" s="19" t="s">
        <v>1</v>
      </c>
      <c r="E379" s="30">
        <v>99300</v>
      </c>
      <c r="F379" s="17">
        <v>99050</v>
      </c>
      <c r="G379" s="19" t="s">
        <v>74</v>
      </c>
      <c r="H379" s="9">
        <f t="shared" si="56"/>
        <v>70</v>
      </c>
      <c r="I379" s="9">
        <f t="shared" si="56"/>
        <v>70</v>
      </c>
      <c r="J379" s="9">
        <f t="shared" si="56"/>
        <v>0</v>
      </c>
      <c r="K379" s="9">
        <f t="shared" si="46"/>
        <v>0</v>
      </c>
    </row>
    <row r="380" spans="1:11" ht="15">
      <c r="A380" s="11" t="s">
        <v>92</v>
      </c>
      <c r="B380" s="19" t="s">
        <v>34</v>
      </c>
      <c r="C380" s="19" t="s">
        <v>7</v>
      </c>
      <c r="D380" s="19" t="s">
        <v>1</v>
      </c>
      <c r="E380" s="30">
        <v>99300</v>
      </c>
      <c r="F380" s="17">
        <v>99050</v>
      </c>
      <c r="G380" s="19" t="s">
        <v>75</v>
      </c>
      <c r="H380" s="9">
        <v>70</v>
      </c>
      <c r="I380" s="9">
        <v>70</v>
      </c>
      <c r="J380" s="9">
        <f>I380-H380</f>
        <v>0</v>
      </c>
      <c r="K380" s="9">
        <f t="shared" si="46"/>
        <v>0</v>
      </c>
    </row>
    <row r="381" spans="1:11" ht="12.75">
      <c r="A381" s="11" t="s">
        <v>19</v>
      </c>
      <c r="B381" s="19" t="s">
        <v>34</v>
      </c>
      <c r="C381" s="19" t="s">
        <v>7</v>
      </c>
      <c r="D381" s="19" t="s">
        <v>6</v>
      </c>
      <c r="E381" s="20"/>
      <c r="F381" s="20"/>
      <c r="G381" s="19"/>
      <c r="H381" s="9">
        <f>H387+H411+H382</f>
        <v>32495.8</v>
      </c>
      <c r="I381" s="9">
        <f>I387+I411+I382</f>
        <v>32436.199999999997</v>
      </c>
      <c r="J381" s="9">
        <f>J387+J411+J382</f>
        <v>-59.60000000000219</v>
      </c>
      <c r="K381" s="9">
        <f t="shared" si="46"/>
        <v>-0.18340831738255758</v>
      </c>
    </row>
    <row r="382" spans="1:11" ht="25.5">
      <c r="A382" s="11" t="s">
        <v>245</v>
      </c>
      <c r="B382" s="20" t="s">
        <v>34</v>
      </c>
      <c r="C382" s="19" t="s">
        <v>7</v>
      </c>
      <c r="D382" s="19" t="s">
        <v>6</v>
      </c>
      <c r="E382" s="17">
        <v>76000</v>
      </c>
      <c r="F382" s="16" t="s">
        <v>141</v>
      </c>
      <c r="G382" s="20"/>
      <c r="H382" s="9">
        <f aca="true" t="shared" si="57" ref="H382:J385">H383</f>
        <v>20</v>
      </c>
      <c r="I382" s="9">
        <f t="shared" si="57"/>
        <v>19.9</v>
      </c>
      <c r="J382" s="9">
        <f t="shared" si="57"/>
        <v>-0.10000000000000142</v>
      </c>
      <c r="K382" s="9">
        <f t="shared" si="46"/>
        <v>-0.5000000000000142</v>
      </c>
    </row>
    <row r="383" spans="1:11" ht="25.5">
      <c r="A383" s="11" t="s">
        <v>246</v>
      </c>
      <c r="B383" s="20" t="s">
        <v>34</v>
      </c>
      <c r="C383" s="19" t="s">
        <v>7</v>
      </c>
      <c r="D383" s="19" t="s">
        <v>6</v>
      </c>
      <c r="E383" s="17">
        <v>76003</v>
      </c>
      <c r="F383" s="16" t="s">
        <v>141</v>
      </c>
      <c r="G383" s="20"/>
      <c r="H383" s="9">
        <f t="shared" si="57"/>
        <v>20</v>
      </c>
      <c r="I383" s="9">
        <f t="shared" si="57"/>
        <v>19.9</v>
      </c>
      <c r="J383" s="9">
        <f t="shared" si="57"/>
        <v>-0.10000000000000142</v>
      </c>
      <c r="K383" s="9">
        <f t="shared" si="46"/>
        <v>-0.5000000000000142</v>
      </c>
    </row>
    <row r="384" spans="1:11" ht="12.75">
      <c r="A384" s="11" t="s">
        <v>247</v>
      </c>
      <c r="B384" s="20" t="s">
        <v>34</v>
      </c>
      <c r="C384" s="19" t="s">
        <v>7</v>
      </c>
      <c r="D384" s="19" t="s">
        <v>6</v>
      </c>
      <c r="E384" s="17">
        <v>76003</v>
      </c>
      <c r="F384" s="17">
        <v>99130</v>
      </c>
      <c r="G384" s="20"/>
      <c r="H384" s="9">
        <f t="shared" si="57"/>
        <v>20</v>
      </c>
      <c r="I384" s="9">
        <f t="shared" si="57"/>
        <v>19.9</v>
      </c>
      <c r="J384" s="9">
        <f t="shared" si="57"/>
        <v>-0.10000000000000142</v>
      </c>
      <c r="K384" s="9">
        <f t="shared" si="46"/>
        <v>-0.5000000000000142</v>
      </c>
    </row>
    <row r="385" spans="1:11" ht="25.5">
      <c r="A385" s="11" t="s">
        <v>89</v>
      </c>
      <c r="B385" s="20" t="s">
        <v>34</v>
      </c>
      <c r="C385" s="19" t="s">
        <v>7</v>
      </c>
      <c r="D385" s="19" t="s">
        <v>6</v>
      </c>
      <c r="E385" s="17">
        <v>76003</v>
      </c>
      <c r="F385" s="17">
        <v>99130</v>
      </c>
      <c r="G385" s="19" t="s">
        <v>74</v>
      </c>
      <c r="H385" s="9">
        <f t="shared" si="57"/>
        <v>20</v>
      </c>
      <c r="I385" s="9">
        <f t="shared" si="57"/>
        <v>19.9</v>
      </c>
      <c r="J385" s="9">
        <f t="shared" si="57"/>
        <v>-0.10000000000000142</v>
      </c>
      <c r="K385" s="9">
        <f t="shared" si="46"/>
        <v>-0.5000000000000142</v>
      </c>
    </row>
    <row r="386" spans="1:11" ht="12.75">
      <c r="A386" s="11" t="s">
        <v>92</v>
      </c>
      <c r="B386" s="20" t="s">
        <v>34</v>
      </c>
      <c r="C386" s="19" t="s">
        <v>7</v>
      </c>
      <c r="D386" s="19" t="s">
        <v>6</v>
      </c>
      <c r="E386" s="17">
        <v>76003</v>
      </c>
      <c r="F386" s="17">
        <v>99130</v>
      </c>
      <c r="G386" s="19" t="s">
        <v>75</v>
      </c>
      <c r="H386" s="9">
        <v>20</v>
      </c>
      <c r="I386" s="9">
        <v>19.9</v>
      </c>
      <c r="J386" s="9">
        <f>I386-H386</f>
        <v>-0.10000000000000142</v>
      </c>
      <c r="K386" s="9">
        <f t="shared" si="46"/>
        <v>-0.5000000000000142</v>
      </c>
    </row>
    <row r="387" spans="1:11" ht="15">
      <c r="A387" s="11" t="s">
        <v>103</v>
      </c>
      <c r="B387" s="19" t="s">
        <v>34</v>
      </c>
      <c r="C387" s="19" t="s">
        <v>7</v>
      </c>
      <c r="D387" s="19" t="s">
        <v>6</v>
      </c>
      <c r="E387" s="30">
        <v>77000</v>
      </c>
      <c r="F387" s="18" t="s">
        <v>141</v>
      </c>
      <c r="G387" s="19"/>
      <c r="H387" s="9">
        <f>H388</f>
        <v>32413.8</v>
      </c>
      <c r="I387" s="9">
        <f>I388</f>
        <v>32354.299999999996</v>
      </c>
      <c r="J387" s="9">
        <f>J388</f>
        <v>-59.50000000000219</v>
      </c>
      <c r="K387" s="9">
        <f t="shared" si="46"/>
        <v>-0.18356379073112805</v>
      </c>
    </row>
    <row r="388" spans="1:11" ht="25.5">
      <c r="A388" s="11" t="s">
        <v>111</v>
      </c>
      <c r="B388" s="19" t="s">
        <v>34</v>
      </c>
      <c r="C388" s="19" t="s">
        <v>7</v>
      </c>
      <c r="D388" s="19" t="s">
        <v>6</v>
      </c>
      <c r="E388" s="30">
        <v>77200</v>
      </c>
      <c r="F388" s="18" t="s">
        <v>141</v>
      </c>
      <c r="G388" s="19"/>
      <c r="H388" s="9">
        <f>H389+H396+H407+H403</f>
        <v>32413.8</v>
      </c>
      <c r="I388" s="9">
        <f>I389+I396+I407+I403</f>
        <v>32354.299999999996</v>
      </c>
      <c r="J388" s="9">
        <f>J389+J396+J407+J403</f>
        <v>-59.50000000000219</v>
      </c>
      <c r="K388" s="9">
        <f t="shared" si="46"/>
        <v>-0.18356379073112805</v>
      </c>
    </row>
    <row r="389" spans="1:11" ht="38.25">
      <c r="A389" s="11" t="s">
        <v>215</v>
      </c>
      <c r="B389" s="19" t="s">
        <v>34</v>
      </c>
      <c r="C389" s="19" t="s">
        <v>7</v>
      </c>
      <c r="D389" s="19" t="s">
        <v>6</v>
      </c>
      <c r="E389" s="30">
        <v>77201</v>
      </c>
      <c r="F389" s="18" t="s">
        <v>141</v>
      </c>
      <c r="G389" s="19"/>
      <c r="H389" s="9">
        <f>H390+H393</f>
        <v>31048</v>
      </c>
      <c r="I389" s="9">
        <f>I390+I393</f>
        <v>31047.899999999998</v>
      </c>
      <c r="J389" s="9">
        <f>J390+J393</f>
        <v>-0.10000000000218279</v>
      </c>
      <c r="K389" s="9">
        <f t="shared" si="46"/>
        <v>-0.0003220819376537065</v>
      </c>
    </row>
    <row r="390" spans="1:11" ht="25.5">
      <c r="A390" s="11" t="s">
        <v>117</v>
      </c>
      <c r="B390" s="19" t="s">
        <v>34</v>
      </c>
      <c r="C390" s="19" t="s">
        <v>7</v>
      </c>
      <c r="D390" s="19" t="s">
        <v>6</v>
      </c>
      <c r="E390" s="30">
        <v>77201</v>
      </c>
      <c r="F390" s="18" t="s">
        <v>206</v>
      </c>
      <c r="G390" s="19"/>
      <c r="H390" s="9">
        <f aca="true" t="shared" si="58" ref="H390:J391">H391</f>
        <v>3780.3</v>
      </c>
      <c r="I390" s="9">
        <f t="shared" si="58"/>
        <v>3780.3</v>
      </c>
      <c r="J390" s="9">
        <f t="shared" si="58"/>
        <v>0</v>
      </c>
      <c r="K390" s="9">
        <f t="shared" si="46"/>
        <v>0</v>
      </c>
    </row>
    <row r="391" spans="1:11" ht="25.5">
      <c r="A391" s="11" t="s">
        <v>89</v>
      </c>
      <c r="B391" s="19" t="s">
        <v>34</v>
      </c>
      <c r="C391" s="19" t="s">
        <v>7</v>
      </c>
      <c r="D391" s="19" t="s">
        <v>6</v>
      </c>
      <c r="E391" s="30">
        <v>77201</v>
      </c>
      <c r="F391" s="18" t="s">
        <v>206</v>
      </c>
      <c r="G391" s="19" t="s">
        <v>74</v>
      </c>
      <c r="H391" s="9">
        <f t="shared" si="58"/>
        <v>3780.3</v>
      </c>
      <c r="I391" s="9">
        <f t="shared" si="58"/>
        <v>3780.3</v>
      </c>
      <c r="J391" s="9">
        <f t="shared" si="58"/>
        <v>0</v>
      </c>
      <c r="K391" s="9">
        <f t="shared" si="46"/>
        <v>0</v>
      </c>
    </row>
    <row r="392" spans="1:11" ht="15">
      <c r="A392" s="11" t="s">
        <v>92</v>
      </c>
      <c r="B392" s="19" t="s">
        <v>34</v>
      </c>
      <c r="C392" s="19" t="s">
        <v>7</v>
      </c>
      <c r="D392" s="19" t="s">
        <v>6</v>
      </c>
      <c r="E392" s="30">
        <v>77201</v>
      </c>
      <c r="F392" s="18" t="s">
        <v>206</v>
      </c>
      <c r="G392" s="19" t="s">
        <v>75</v>
      </c>
      <c r="H392" s="9">
        <f>3947.4-257.1+90</f>
        <v>3780.3</v>
      </c>
      <c r="I392" s="9">
        <v>3780.3</v>
      </c>
      <c r="J392" s="9">
        <f>I392-H392</f>
        <v>0</v>
      </c>
      <c r="K392" s="9">
        <f t="shared" si="46"/>
        <v>0</v>
      </c>
    </row>
    <row r="393" spans="1:11" ht="25.5">
      <c r="A393" s="40" t="s">
        <v>216</v>
      </c>
      <c r="B393" s="19" t="s">
        <v>34</v>
      </c>
      <c r="C393" s="19" t="s">
        <v>7</v>
      </c>
      <c r="D393" s="19" t="s">
        <v>6</v>
      </c>
      <c r="E393" s="30">
        <v>77201</v>
      </c>
      <c r="F393" s="29">
        <v>77000</v>
      </c>
      <c r="G393" s="19"/>
      <c r="H393" s="9">
        <f aca="true" t="shared" si="59" ref="H393:J394">H394</f>
        <v>27267.7</v>
      </c>
      <c r="I393" s="9">
        <f t="shared" si="59"/>
        <v>27267.6</v>
      </c>
      <c r="J393" s="9">
        <f t="shared" si="59"/>
        <v>-0.10000000000218279</v>
      </c>
      <c r="K393" s="9">
        <f t="shared" si="46"/>
        <v>-0.00036673426802735776</v>
      </c>
    </row>
    <row r="394" spans="1:11" ht="25.5">
      <c r="A394" s="11" t="s">
        <v>89</v>
      </c>
      <c r="B394" s="19" t="s">
        <v>34</v>
      </c>
      <c r="C394" s="19" t="s">
        <v>7</v>
      </c>
      <c r="D394" s="19" t="s">
        <v>6</v>
      </c>
      <c r="E394" s="30">
        <v>77201</v>
      </c>
      <c r="F394" s="29">
        <v>77000</v>
      </c>
      <c r="G394" s="19" t="s">
        <v>74</v>
      </c>
      <c r="H394" s="9">
        <f t="shared" si="59"/>
        <v>27267.7</v>
      </c>
      <c r="I394" s="9">
        <f t="shared" si="59"/>
        <v>27267.6</v>
      </c>
      <c r="J394" s="9">
        <f t="shared" si="59"/>
        <v>-0.10000000000218279</v>
      </c>
      <c r="K394" s="9">
        <f aca="true" t="shared" si="60" ref="K394:K457">I394/H394*100-100</f>
        <v>-0.00036673426802735776</v>
      </c>
    </row>
    <row r="395" spans="1:11" ht="15">
      <c r="A395" s="11" t="s">
        <v>92</v>
      </c>
      <c r="B395" s="19" t="s">
        <v>34</v>
      </c>
      <c r="C395" s="19" t="s">
        <v>7</v>
      </c>
      <c r="D395" s="19" t="s">
        <v>6</v>
      </c>
      <c r="E395" s="30">
        <v>77201</v>
      </c>
      <c r="F395" s="29">
        <v>77000</v>
      </c>
      <c r="G395" s="19" t="s">
        <v>75</v>
      </c>
      <c r="H395" s="9">
        <v>27267.7</v>
      </c>
      <c r="I395" s="9">
        <v>27267.6</v>
      </c>
      <c r="J395" s="9">
        <f>I395-H395</f>
        <v>-0.10000000000218279</v>
      </c>
      <c r="K395" s="9">
        <f t="shared" si="60"/>
        <v>-0.00036673426802735776</v>
      </c>
    </row>
    <row r="396" spans="1:11" ht="15">
      <c r="A396" s="11" t="s">
        <v>217</v>
      </c>
      <c r="B396" s="19" t="s">
        <v>34</v>
      </c>
      <c r="C396" s="19" t="s">
        <v>7</v>
      </c>
      <c r="D396" s="19" t="s">
        <v>6</v>
      </c>
      <c r="E396" s="30">
        <v>77202</v>
      </c>
      <c r="F396" s="18" t="s">
        <v>141</v>
      </c>
      <c r="G396" s="19"/>
      <c r="H396" s="9">
        <f>H397+H400</f>
        <v>914.5</v>
      </c>
      <c r="I396" s="9">
        <f>I397+I400</f>
        <v>856.3</v>
      </c>
      <c r="J396" s="9">
        <f>J397+J400</f>
        <v>-58.19999999999999</v>
      </c>
      <c r="K396" s="9">
        <f t="shared" si="60"/>
        <v>-6.364133406232924</v>
      </c>
    </row>
    <row r="397" spans="1:11" ht="51">
      <c r="A397" s="11" t="s">
        <v>108</v>
      </c>
      <c r="B397" s="19" t="s">
        <v>34</v>
      </c>
      <c r="C397" s="19" t="s">
        <v>7</v>
      </c>
      <c r="D397" s="19" t="s">
        <v>6</v>
      </c>
      <c r="E397" s="30">
        <v>77202</v>
      </c>
      <c r="F397" s="29">
        <v>77200</v>
      </c>
      <c r="G397" s="19"/>
      <c r="H397" s="9">
        <f aca="true" t="shared" si="61" ref="H397:J398">H398</f>
        <v>714.5</v>
      </c>
      <c r="I397" s="9">
        <f t="shared" si="61"/>
        <v>671</v>
      </c>
      <c r="J397" s="9">
        <f t="shared" si="61"/>
        <v>-43.5</v>
      </c>
      <c r="K397" s="9">
        <f t="shared" si="60"/>
        <v>-6.088173547935611</v>
      </c>
    </row>
    <row r="398" spans="1:11" ht="25.5">
      <c r="A398" s="11" t="s">
        <v>89</v>
      </c>
      <c r="B398" s="19" t="s">
        <v>34</v>
      </c>
      <c r="C398" s="19" t="s">
        <v>7</v>
      </c>
      <c r="D398" s="19" t="s">
        <v>6</v>
      </c>
      <c r="E398" s="30">
        <v>77202</v>
      </c>
      <c r="F398" s="29">
        <v>77200</v>
      </c>
      <c r="G398" s="19" t="s">
        <v>74</v>
      </c>
      <c r="H398" s="9">
        <f t="shared" si="61"/>
        <v>714.5</v>
      </c>
      <c r="I398" s="9">
        <f t="shared" si="61"/>
        <v>671</v>
      </c>
      <c r="J398" s="9">
        <f t="shared" si="61"/>
        <v>-43.5</v>
      </c>
      <c r="K398" s="9">
        <f t="shared" si="60"/>
        <v>-6.088173547935611</v>
      </c>
    </row>
    <row r="399" spans="1:11" ht="15">
      <c r="A399" s="11" t="s">
        <v>92</v>
      </c>
      <c r="B399" s="19" t="s">
        <v>34</v>
      </c>
      <c r="C399" s="19" t="s">
        <v>7</v>
      </c>
      <c r="D399" s="19" t="s">
        <v>6</v>
      </c>
      <c r="E399" s="30">
        <v>77202</v>
      </c>
      <c r="F399" s="29">
        <v>77200</v>
      </c>
      <c r="G399" s="19" t="s">
        <v>75</v>
      </c>
      <c r="H399" s="9">
        <v>714.5</v>
      </c>
      <c r="I399" s="9">
        <v>671</v>
      </c>
      <c r="J399" s="9">
        <f>I399-H399</f>
        <v>-43.5</v>
      </c>
      <c r="K399" s="9">
        <f t="shared" si="60"/>
        <v>-6.088173547935611</v>
      </c>
    </row>
    <row r="400" spans="1:11" ht="51">
      <c r="A400" s="11" t="s">
        <v>218</v>
      </c>
      <c r="B400" s="19" t="s">
        <v>34</v>
      </c>
      <c r="C400" s="19" t="s">
        <v>7</v>
      </c>
      <c r="D400" s="19" t="s">
        <v>6</v>
      </c>
      <c r="E400" s="30">
        <v>77202</v>
      </c>
      <c r="F400" s="29">
        <v>77270</v>
      </c>
      <c r="G400" s="19"/>
      <c r="H400" s="9">
        <f aca="true" t="shared" si="62" ref="H400:J401">H401</f>
        <v>200</v>
      </c>
      <c r="I400" s="9">
        <f t="shared" si="62"/>
        <v>185.3</v>
      </c>
      <c r="J400" s="9">
        <f t="shared" si="62"/>
        <v>-14.699999999999989</v>
      </c>
      <c r="K400" s="9">
        <f t="shared" si="60"/>
        <v>-7.349999999999994</v>
      </c>
    </row>
    <row r="401" spans="1:11" ht="25.5">
      <c r="A401" s="11" t="s">
        <v>89</v>
      </c>
      <c r="B401" s="19" t="s">
        <v>34</v>
      </c>
      <c r="C401" s="19" t="s">
        <v>7</v>
      </c>
      <c r="D401" s="19" t="s">
        <v>6</v>
      </c>
      <c r="E401" s="30">
        <v>77202</v>
      </c>
      <c r="F401" s="29">
        <v>77270</v>
      </c>
      <c r="G401" s="19" t="s">
        <v>74</v>
      </c>
      <c r="H401" s="9">
        <f t="shared" si="62"/>
        <v>200</v>
      </c>
      <c r="I401" s="9">
        <f t="shared" si="62"/>
        <v>185.3</v>
      </c>
      <c r="J401" s="9">
        <f t="shared" si="62"/>
        <v>-14.699999999999989</v>
      </c>
      <c r="K401" s="9">
        <f t="shared" si="60"/>
        <v>-7.349999999999994</v>
      </c>
    </row>
    <row r="402" spans="1:11" ht="15">
      <c r="A402" s="11" t="s">
        <v>92</v>
      </c>
      <c r="B402" s="19" t="s">
        <v>34</v>
      </c>
      <c r="C402" s="19" t="s">
        <v>7</v>
      </c>
      <c r="D402" s="19" t="s">
        <v>6</v>
      </c>
      <c r="E402" s="30">
        <v>77202</v>
      </c>
      <c r="F402" s="29">
        <v>77270</v>
      </c>
      <c r="G402" s="19" t="s">
        <v>75</v>
      </c>
      <c r="H402" s="9">
        <v>200</v>
      </c>
      <c r="I402" s="9">
        <v>185.3</v>
      </c>
      <c r="J402" s="9">
        <f>I402-H402</f>
        <v>-14.699999999999989</v>
      </c>
      <c r="K402" s="9">
        <f t="shared" si="60"/>
        <v>-7.349999999999994</v>
      </c>
    </row>
    <row r="403" spans="1:11" ht="25.5">
      <c r="A403" s="11" t="s">
        <v>277</v>
      </c>
      <c r="B403" s="19" t="s">
        <v>34</v>
      </c>
      <c r="C403" s="19" t="s">
        <v>7</v>
      </c>
      <c r="D403" s="19" t="s">
        <v>6</v>
      </c>
      <c r="E403" s="30">
        <v>77203</v>
      </c>
      <c r="F403" s="18" t="s">
        <v>141</v>
      </c>
      <c r="G403" s="19"/>
      <c r="H403" s="9">
        <f aca="true" t="shared" si="63" ref="H403:J405">H404</f>
        <v>300</v>
      </c>
      <c r="I403" s="9">
        <f t="shared" si="63"/>
        <v>300</v>
      </c>
      <c r="J403" s="9">
        <f t="shared" si="63"/>
        <v>0</v>
      </c>
      <c r="K403" s="9">
        <f t="shared" si="60"/>
        <v>0</v>
      </c>
    </row>
    <row r="404" spans="1:11" ht="25.5">
      <c r="A404" s="11" t="s">
        <v>278</v>
      </c>
      <c r="B404" s="19" t="s">
        <v>34</v>
      </c>
      <c r="C404" s="19" t="s">
        <v>7</v>
      </c>
      <c r="D404" s="19" t="s">
        <v>6</v>
      </c>
      <c r="E404" s="30">
        <v>77203</v>
      </c>
      <c r="F404" s="29">
        <v>69100</v>
      </c>
      <c r="G404" s="19"/>
      <c r="H404" s="9">
        <f t="shared" si="63"/>
        <v>300</v>
      </c>
      <c r="I404" s="9">
        <f t="shared" si="63"/>
        <v>300</v>
      </c>
      <c r="J404" s="9">
        <f t="shared" si="63"/>
        <v>0</v>
      </c>
      <c r="K404" s="9">
        <f t="shared" si="60"/>
        <v>0</v>
      </c>
    </row>
    <row r="405" spans="1:11" ht="25.5">
      <c r="A405" s="11" t="s">
        <v>89</v>
      </c>
      <c r="B405" s="19" t="s">
        <v>34</v>
      </c>
      <c r="C405" s="19" t="s">
        <v>7</v>
      </c>
      <c r="D405" s="19" t="s">
        <v>6</v>
      </c>
      <c r="E405" s="30">
        <v>77203</v>
      </c>
      <c r="F405" s="29">
        <v>69100</v>
      </c>
      <c r="G405" s="19" t="s">
        <v>74</v>
      </c>
      <c r="H405" s="9">
        <f t="shared" si="63"/>
        <v>300</v>
      </c>
      <c r="I405" s="9">
        <f t="shared" si="63"/>
        <v>300</v>
      </c>
      <c r="J405" s="9">
        <f t="shared" si="63"/>
        <v>0</v>
      </c>
      <c r="K405" s="9">
        <f t="shared" si="60"/>
        <v>0</v>
      </c>
    </row>
    <row r="406" spans="1:11" ht="15">
      <c r="A406" s="11" t="s">
        <v>92</v>
      </c>
      <c r="B406" s="19" t="s">
        <v>34</v>
      </c>
      <c r="C406" s="19" t="s">
        <v>7</v>
      </c>
      <c r="D406" s="19" t="s">
        <v>6</v>
      </c>
      <c r="E406" s="30">
        <v>77203</v>
      </c>
      <c r="F406" s="29">
        <v>69100</v>
      </c>
      <c r="G406" s="19" t="s">
        <v>75</v>
      </c>
      <c r="H406" s="9">
        <v>300</v>
      </c>
      <c r="I406" s="9">
        <v>300</v>
      </c>
      <c r="J406" s="9">
        <f>I406-H406</f>
        <v>0</v>
      </c>
      <c r="K406" s="9">
        <f t="shared" si="60"/>
        <v>0</v>
      </c>
    </row>
    <row r="407" spans="1:11" ht="25.5">
      <c r="A407" s="32" t="s">
        <v>279</v>
      </c>
      <c r="B407" s="19" t="s">
        <v>34</v>
      </c>
      <c r="C407" s="19" t="s">
        <v>7</v>
      </c>
      <c r="D407" s="19" t="s">
        <v>6</v>
      </c>
      <c r="E407" s="30">
        <v>77204</v>
      </c>
      <c r="F407" s="18" t="s">
        <v>141</v>
      </c>
      <c r="G407" s="19"/>
      <c r="H407" s="9">
        <f aca="true" t="shared" si="64" ref="H407:J409">H408</f>
        <v>151.3</v>
      </c>
      <c r="I407" s="9">
        <f t="shared" si="64"/>
        <v>150.1</v>
      </c>
      <c r="J407" s="9">
        <f t="shared" si="64"/>
        <v>-1.200000000000017</v>
      </c>
      <c r="K407" s="9">
        <f t="shared" si="60"/>
        <v>-0.7931262392597489</v>
      </c>
    </row>
    <row r="408" spans="1:11" ht="15">
      <c r="A408" s="32" t="s">
        <v>280</v>
      </c>
      <c r="B408" s="19" t="s">
        <v>34</v>
      </c>
      <c r="C408" s="19" t="s">
        <v>7</v>
      </c>
      <c r="D408" s="19" t="s">
        <v>6</v>
      </c>
      <c r="E408" s="30">
        <v>77204</v>
      </c>
      <c r="F408" s="17">
        <v>99170</v>
      </c>
      <c r="G408" s="19"/>
      <c r="H408" s="9">
        <f t="shared" si="64"/>
        <v>151.3</v>
      </c>
      <c r="I408" s="9">
        <f t="shared" si="64"/>
        <v>150.1</v>
      </c>
      <c r="J408" s="9">
        <f t="shared" si="64"/>
        <v>-1.200000000000017</v>
      </c>
      <c r="K408" s="9">
        <f t="shared" si="60"/>
        <v>-0.7931262392597489</v>
      </c>
    </row>
    <row r="409" spans="1:11" ht="25.5">
      <c r="A409" s="11" t="s">
        <v>62</v>
      </c>
      <c r="B409" s="19" t="s">
        <v>34</v>
      </c>
      <c r="C409" s="19" t="s">
        <v>7</v>
      </c>
      <c r="D409" s="19" t="s">
        <v>6</v>
      </c>
      <c r="E409" s="30">
        <v>77204</v>
      </c>
      <c r="F409" s="17">
        <v>99170</v>
      </c>
      <c r="G409" s="19" t="s">
        <v>61</v>
      </c>
      <c r="H409" s="9">
        <f t="shared" si="64"/>
        <v>151.3</v>
      </c>
      <c r="I409" s="9">
        <f t="shared" si="64"/>
        <v>150.1</v>
      </c>
      <c r="J409" s="9">
        <f t="shared" si="64"/>
        <v>-1.200000000000017</v>
      </c>
      <c r="K409" s="9">
        <f t="shared" si="60"/>
        <v>-0.7931262392597489</v>
      </c>
    </row>
    <row r="410" spans="1:11" ht="25.5">
      <c r="A410" s="11" t="s">
        <v>63</v>
      </c>
      <c r="B410" s="19" t="s">
        <v>34</v>
      </c>
      <c r="C410" s="19" t="s">
        <v>7</v>
      </c>
      <c r="D410" s="19" t="s">
        <v>6</v>
      </c>
      <c r="E410" s="30">
        <v>77204</v>
      </c>
      <c r="F410" s="17">
        <v>99170</v>
      </c>
      <c r="G410" s="19" t="s">
        <v>17</v>
      </c>
      <c r="H410" s="9">
        <v>151.3</v>
      </c>
      <c r="I410" s="9">
        <v>150.1</v>
      </c>
      <c r="J410" s="9">
        <f>I410-H410</f>
        <v>-1.200000000000017</v>
      </c>
      <c r="K410" s="9">
        <f t="shared" si="60"/>
        <v>-0.7931262392597489</v>
      </c>
    </row>
    <row r="411" spans="1:11" ht="15">
      <c r="A411" s="11" t="s">
        <v>127</v>
      </c>
      <c r="B411" s="19" t="s">
        <v>34</v>
      </c>
      <c r="C411" s="19" t="s">
        <v>7</v>
      </c>
      <c r="D411" s="19" t="s">
        <v>6</v>
      </c>
      <c r="E411" s="30">
        <v>99000</v>
      </c>
      <c r="F411" s="18" t="s">
        <v>141</v>
      </c>
      <c r="G411" s="19"/>
      <c r="H411" s="9">
        <f aca="true" t="shared" si="65" ref="H411:J414">H412</f>
        <v>62</v>
      </c>
      <c r="I411" s="9">
        <f t="shared" si="65"/>
        <v>62</v>
      </c>
      <c r="J411" s="9">
        <f t="shared" si="65"/>
        <v>0</v>
      </c>
      <c r="K411" s="9">
        <f t="shared" si="60"/>
        <v>0</v>
      </c>
    </row>
    <row r="412" spans="1:11" ht="15">
      <c r="A412" s="11" t="s">
        <v>130</v>
      </c>
      <c r="B412" s="19" t="s">
        <v>34</v>
      </c>
      <c r="C412" s="19" t="s">
        <v>7</v>
      </c>
      <c r="D412" s="19" t="s">
        <v>6</v>
      </c>
      <c r="E412" s="30">
        <v>99300</v>
      </c>
      <c r="F412" s="18" t="s">
        <v>141</v>
      </c>
      <c r="G412" s="19"/>
      <c r="H412" s="9">
        <f t="shared" si="65"/>
        <v>62</v>
      </c>
      <c r="I412" s="9">
        <f t="shared" si="65"/>
        <v>62</v>
      </c>
      <c r="J412" s="9">
        <f t="shared" si="65"/>
        <v>0</v>
      </c>
      <c r="K412" s="9">
        <f t="shared" si="60"/>
        <v>0</v>
      </c>
    </row>
    <row r="413" spans="1:11" ht="15">
      <c r="A413" s="36" t="s">
        <v>250</v>
      </c>
      <c r="B413" s="19" t="s">
        <v>34</v>
      </c>
      <c r="C413" s="19" t="s">
        <v>7</v>
      </c>
      <c r="D413" s="19" t="s">
        <v>6</v>
      </c>
      <c r="E413" s="30">
        <v>99300</v>
      </c>
      <c r="F413" s="17">
        <v>99050</v>
      </c>
      <c r="G413" s="19"/>
      <c r="H413" s="9">
        <f t="shared" si="65"/>
        <v>62</v>
      </c>
      <c r="I413" s="9">
        <f t="shared" si="65"/>
        <v>62</v>
      </c>
      <c r="J413" s="9">
        <f t="shared" si="65"/>
        <v>0</v>
      </c>
      <c r="K413" s="9">
        <f t="shared" si="60"/>
        <v>0</v>
      </c>
    </row>
    <row r="414" spans="1:11" ht="25.5">
      <c r="A414" s="11" t="s">
        <v>89</v>
      </c>
      <c r="B414" s="19" t="s">
        <v>34</v>
      </c>
      <c r="C414" s="19" t="s">
        <v>7</v>
      </c>
      <c r="D414" s="19" t="s">
        <v>6</v>
      </c>
      <c r="E414" s="30">
        <v>99300</v>
      </c>
      <c r="F414" s="17">
        <v>99050</v>
      </c>
      <c r="G414" s="19" t="s">
        <v>74</v>
      </c>
      <c r="H414" s="9">
        <f t="shared" si="65"/>
        <v>62</v>
      </c>
      <c r="I414" s="9">
        <f t="shared" si="65"/>
        <v>62</v>
      </c>
      <c r="J414" s="9">
        <f t="shared" si="65"/>
        <v>0</v>
      </c>
      <c r="K414" s="9">
        <f t="shared" si="60"/>
        <v>0</v>
      </c>
    </row>
    <row r="415" spans="1:11" ht="15">
      <c r="A415" s="11" t="s">
        <v>92</v>
      </c>
      <c r="B415" s="19" t="s">
        <v>34</v>
      </c>
      <c r="C415" s="19" t="s">
        <v>7</v>
      </c>
      <c r="D415" s="19" t="s">
        <v>6</v>
      </c>
      <c r="E415" s="30">
        <v>99300</v>
      </c>
      <c r="F415" s="17">
        <v>99050</v>
      </c>
      <c r="G415" s="19" t="s">
        <v>75</v>
      </c>
      <c r="H415" s="9">
        <v>62</v>
      </c>
      <c r="I415" s="9">
        <v>62</v>
      </c>
      <c r="J415" s="9">
        <f>I415-H415</f>
        <v>0</v>
      </c>
      <c r="K415" s="9">
        <f t="shared" si="60"/>
        <v>0</v>
      </c>
    </row>
    <row r="416" spans="1:11" ht="15">
      <c r="A416" s="11" t="s">
        <v>281</v>
      </c>
      <c r="B416" s="19" t="s">
        <v>34</v>
      </c>
      <c r="C416" s="19" t="s">
        <v>7</v>
      </c>
      <c r="D416" s="19" t="s">
        <v>5</v>
      </c>
      <c r="E416" s="30"/>
      <c r="F416" s="17"/>
      <c r="G416" s="19"/>
      <c r="H416" s="9">
        <f>H426+H417</f>
        <v>12546.4</v>
      </c>
      <c r="I416" s="9">
        <f>I426+I417</f>
        <v>12545.8</v>
      </c>
      <c r="J416" s="9">
        <f>J426+J417</f>
        <v>-0.5999999999999943</v>
      </c>
      <c r="K416" s="9">
        <f t="shared" si="60"/>
        <v>-0.004782248294333158</v>
      </c>
    </row>
    <row r="417" spans="1:11" ht="25.5">
      <c r="A417" s="11" t="s">
        <v>245</v>
      </c>
      <c r="B417" s="20" t="s">
        <v>34</v>
      </c>
      <c r="C417" s="19" t="s">
        <v>7</v>
      </c>
      <c r="D417" s="19" t="s">
        <v>5</v>
      </c>
      <c r="E417" s="17">
        <v>76000</v>
      </c>
      <c r="F417" s="16" t="s">
        <v>141</v>
      </c>
      <c r="G417" s="20"/>
      <c r="H417" s="9">
        <f>H418+H422</f>
        <v>230</v>
      </c>
      <c r="I417" s="9">
        <f>I418+I422</f>
        <v>229.4</v>
      </c>
      <c r="J417" s="9">
        <f>J418+J422</f>
        <v>-0.5999999999999943</v>
      </c>
      <c r="K417" s="9">
        <f t="shared" si="60"/>
        <v>-0.2608695652173907</v>
      </c>
    </row>
    <row r="418" spans="1:11" ht="25.5">
      <c r="A418" s="11" t="s">
        <v>246</v>
      </c>
      <c r="B418" s="20" t="s">
        <v>34</v>
      </c>
      <c r="C418" s="19" t="s">
        <v>7</v>
      </c>
      <c r="D418" s="19" t="s">
        <v>5</v>
      </c>
      <c r="E418" s="17">
        <v>76003</v>
      </c>
      <c r="F418" s="16" t="s">
        <v>141</v>
      </c>
      <c r="G418" s="20"/>
      <c r="H418" s="9">
        <f aca="true" t="shared" si="66" ref="H418:J420">H419</f>
        <v>30</v>
      </c>
      <c r="I418" s="9">
        <f t="shared" si="66"/>
        <v>29.5</v>
      </c>
      <c r="J418" s="9">
        <f t="shared" si="66"/>
        <v>-0.5</v>
      </c>
      <c r="K418" s="9">
        <f t="shared" si="60"/>
        <v>-1.6666666666666714</v>
      </c>
    </row>
    <row r="419" spans="1:11" ht="12.75">
      <c r="A419" s="11" t="s">
        <v>247</v>
      </c>
      <c r="B419" s="20" t="s">
        <v>34</v>
      </c>
      <c r="C419" s="19" t="s">
        <v>7</v>
      </c>
      <c r="D419" s="19" t="s">
        <v>5</v>
      </c>
      <c r="E419" s="17">
        <v>76003</v>
      </c>
      <c r="F419" s="17">
        <v>99130</v>
      </c>
      <c r="G419" s="20"/>
      <c r="H419" s="9">
        <f t="shared" si="66"/>
        <v>30</v>
      </c>
      <c r="I419" s="9">
        <f t="shared" si="66"/>
        <v>29.5</v>
      </c>
      <c r="J419" s="9">
        <f t="shared" si="66"/>
        <v>-0.5</v>
      </c>
      <c r="K419" s="9">
        <f t="shared" si="60"/>
        <v>-1.6666666666666714</v>
      </c>
    </row>
    <row r="420" spans="1:11" ht="25.5">
      <c r="A420" s="11" t="s">
        <v>89</v>
      </c>
      <c r="B420" s="20" t="s">
        <v>34</v>
      </c>
      <c r="C420" s="19" t="s">
        <v>7</v>
      </c>
      <c r="D420" s="19" t="s">
        <v>5</v>
      </c>
      <c r="E420" s="17">
        <v>76003</v>
      </c>
      <c r="F420" s="17">
        <v>99130</v>
      </c>
      <c r="G420" s="19" t="s">
        <v>74</v>
      </c>
      <c r="H420" s="9">
        <f t="shared" si="66"/>
        <v>30</v>
      </c>
      <c r="I420" s="9">
        <f t="shared" si="66"/>
        <v>29.5</v>
      </c>
      <c r="J420" s="9">
        <f t="shared" si="66"/>
        <v>-0.5</v>
      </c>
      <c r="K420" s="9">
        <f t="shared" si="60"/>
        <v>-1.6666666666666714</v>
      </c>
    </row>
    <row r="421" spans="1:11" ht="12.75">
      <c r="A421" s="11" t="s">
        <v>92</v>
      </c>
      <c r="B421" s="20" t="s">
        <v>34</v>
      </c>
      <c r="C421" s="19" t="s">
        <v>7</v>
      </c>
      <c r="D421" s="19" t="s">
        <v>5</v>
      </c>
      <c r="E421" s="17">
        <v>76003</v>
      </c>
      <c r="F421" s="17">
        <v>99130</v>
      </c>
      <c r="G421" s="19" t="s">
        <v>75</v>
      </c>
      <c r="H421" s="9">
        <v>30</v>
      </c>
      <c r="I421" s="9">
        <v>29.5</v>
      </c>
      <c r="J421" s="9">
        <f>I421-H421</f>
        <v>-0.5</v>
      </c>
      <c r="K421" s="9">
        <f t="shared" si="60"/>
        <v>-1.6666666666666714</v>
      </c>
    </row>
    <row r="422" spans="1:11" ht="15">
      <c r="A422" s="11" t="s">
        <v>282</v>
      </c>
      <c r="B422" s="20" t="s">
        <v>34</v>
      </c>
      <c r="C422" s="19" t="s">
        <v>7</v>
      </c>
      <c r="D422" s="19" t="s">
        <v>5</v>
      </c>
      <c r="E422" s="17">
        <v>76005</v>
      </c>
      <c r="F422" s="16" t="s">
        <v>141</v>
      </c>
      <c r="G422" s="19"/>
      <c r="H422" s="9">
        <f aca="true" t="shared" si="67" ref="H422:J424">H423</f>
        <v>200</v>
      </c>
      <c r="I422" s="9">
        <f t="shared" si="67"/>
        <v>199.9</v>
      </c>
      <c r="J422" s="9">
        <f t="shared" si="67"/>
        <v>-0.09999999999999432</v>
      </c>
      <c r="K422" s="9">
        <f t="shared" si="60"/>
        <v>-0.04999999999999716</v>
      </c>
    </row>
    <row r="423" spans="1:11" ht="12.75">
      <c r="A423" s="11" t="s">
        <v>283</v>
      </c>
      <c r="B423" s="20" t="s">
        <v>34</v>
      </c>
      <c r="C423" s="19" t="s">
        <v>7</v>
      </c>
      <c r="D423" s="19" t="s">
        <v>5</v>
      </c>
      <c r="E423" s="17">
        <v>76005</v>
      </c>
      <c r="F423" s="17">
        <v>69100</v>
      </c>
      <c r="G423" s="19"/>
      <c r="H423" s="9">
        <f t="shared" si="67"/>
        <v>200</v>
      </c>
      <c r="I423" s="9">
        <f t="shared" si="67"/>
        <v>199.9</v>
      </c>
      <c r="J423" s="9">
        <f t="shared" si="67"/>
        <v>-0.09999999999999432</v>
      </c>
      <c r="K423" s="9">
        <f t="shared" si="60"/>
        <v>-0.04999999999999716</v>
      </c>
    </row>
    <row r="424" spans="1:11" ht="25.5">
      <c r="A424" s="11" t="s">
        <v>89</v>
      </c>
      <c r="B424" s="20" t="s">
        <v>34</v>
      </c>
      <c r="C424" s="19" t="s">
        <v>7</v>
      </c>
      <c r="D424" s="19" t="s">
        <v>5</v>
      </c>
      <c r="E424" s="17">
        <v>76005</v>
      </c>
      <c r="F424" s="17">
        <v>69100</v>
      </c>
      <c r="G424" s="19" t="s">
        <v>74</v>
      </c>
      <c r="H424" s="9">
        <f t="shared" si="67"/>
        <v>200</v>
      </c>
      <c r="I424" s="9">
        <f t="shared" si="67"/>
        <v>199.9</v>
      </c>
      <c r="J424" s="9">
        <f t="shared" si="67"/>
        <v>-0.09999999999999432</v>
      </c>
      <c r="K424" s="9">
        <f t="shared" si="60"/>
        <v>-0.04999999999999716</v>
      </c>
    </row>
    <row r="425" spans="1:11" ht="12.75">
      <c r="A425" s="11" t="s">
        <v>92</v>
      </c>
      <c r="B425" s="20" t="s">
        <v>34</v>
      </c>
      <c r="C425" s="19" t="s">
        <v>7</v>
      </c>
      <c r="D425" s="19" t="s">
        <v>5</v>
      </c>
      <c r="E425" s="17">
        <v>76005</v>
      </c>
      <c r="F425" s="17">
        <v>69100</v>
      </c>
      <c r="G425" s="19" t="s">
        <v>75</v>
      </c>
      <c r="H425" s="9">
        <v>200</v>
      </c>
      <c r="I425" s="9">
        <v>199.9</v>
      </c>
      <c r="J425" s="9">
        <f>I425-H425</f>
        <v>-0.09999999999999432</v>
      </c>
      <c r="K425" s="9">
        <f t="shared" si="60"/>
        <v>-0.04999999999999716</v>
      </c>
    </row>
    <row r="426" spans="1:11" ht="12.75">
      <c r="A426" s="11" t="s">
        <v>103</v>
      </c>
      <c r="B426" s="19" t="s">
        <v>34</v>
      </c>
      <c r="C426" s="19" t="s">
        <v>7</v>
      </c>
      <c r="D426" s="19" t="s">
        <v>5</v>
      </c>
      <c r="E426" s="17">
        <v>77000</v>
      </c>
      <c r="F426" s="18" t="s">
        <v>141</v>
      </c>
      <c r="G426" s="19"/>
      <c r="H426" s="9">
        <f>H427</f>
        <v>12316.4</v>
      </c>
      <c r="I426" s="9">
        <f>I427</f>
        <v>12316.4</v>
      </c>
      <c r="J426" s="9">
        <f>J427</f>
        <v>0</v>
      </c>
      <c r="K426" s="9">
        <f t="shared" si="60"/>
        <v>0</v>
      </c>
    </row>
    <row r="427" spans="1:11" ht="25.5">
      <c r="A427" s="11" t="s">
        <v>112</v>
      </c>
      <c r="B427" s="19" t="s">
        <v>34</v>
      </c>
      <c r="C427" s="19" t="s">
        <v>7</v>
      </c>
      <c r="D427" s="19" t="s">
        <v>5</v>
      </c>
      <c r="E427" s="17">
        <v>77300</v>
      </c>
      <c r="F427" s="18" t="s">
        <v>141</v>
      </c>
      <c r="G427" s="19"/>
      <c r="H427" s="9">
        <f>H428+H435+H439</f>
        <v>12316.4</v>
      </c>
      <c r="I427" s="9">
        <f>I428+I435+I439</f>
        <v>12316.4</v>
      </c>
      <c r="J427" s="9">
        <f>J428+J435+J439</f>
        <v>0</v>
      </c>
      <c r="K427" s="9">
        <f t="shared" si="60"/>
        <v>0</v>
      </c>
    </row>
    <row r="428" spans="1:11" ht="12.75">
      <c r="A428" s="48" t="s">
        <v>284</v>
      </c>
      <c r="B428" s="19" t="s">
        <v>34</v>
      </c>
      <c r="C428" s="19" t="s">
        <v>7</v>
      </c>
      <c r="D428" s="19" t="s">
        <v>5</v>
      </c>
      <c r="E428" s="17">
        <v>77301</v>
      </c>
      <c r="F428" s="18" t="s">
        <v>141</v>
      </c>
      <c r="G428" s="19"/>
      <c r="H428" s="9">
        <f>H429+H432</f>
        <v>11859</v>
      </c>
      <c r="I428" s="9">
        <f>I429+I432</f>
        <v>11859</v>
      </c>
      <c r="J428" s="9">
        <f>J429+J432</f>
        <v>0</v>
      </c>
      <c r="K428" s="9">
        <f t="shared" si="60"/>
        <v>0</v>
      </c>
    </row>
    <row r="429" spans="1:11" ht="25.5">
      <c r="A429" s="48" t="s">
        <v>285</v>
      </c>
      <c r="B429" s="19" t="s">
        <v>34</v>
      </c>
      <c r="C429" s="19" t="s">
        <v>7</v>
      </c>
      <c r="D429" s="19" t="s">
        <v>5</v>
      </c>
      <c r="E429" s="17">
        <v>77301</v>
      </c>
      <c r="F429" s="41" t="s">
        <v>219</v>
      </c>
      <c r="G429" s="19"/>
      <c r="H429" s="9">
        <f aca="true" t="shared" si="68" ref="H429:J430">H430</f>
        <v>6350.7</v>
      </c>
      <c r="I429" s="9">
        <f t="shared" si="68"/>
        <v>6350.7</v>
      </c>
      <c r="J429" s="9">
        <f t="shared" si="68"/>
        <v>0</v>
      </c>
      <c r="K429" s="9">
        <f t="shared" si="60"/>
        <v>0</v>
      </c>
    </row>
    <row r="430" spans="1:11" ht="25.5">
      <c r="A430" s="11" t="s">
        <v>89</v>
      </c>
      <c r="B430" s="19" t="s">
        <v>34</v>
      </c>
      <c r="C430" s="19" t="s">
        <v>7</v>
      </c>
      <c r="D430" s="19" t="s">
        <v>5</v>
      </c>
      <c r="E430" s="17">
        <v>77301</v>
      </c>
      <c r="F430" s="41" t="s">
        <v>219</v>
      </c>
      <c r="G430" s="19" t="s">
        <v>74</v>
      </c>
      <c r="H430" s="9">
        <f t="shared" si="68"/>
        <v>6350.7</v>
      </c>
      <c r="I430" s="9">
        <f t="shared" si="68"/>
        <v>6350.7</v>
      </c>
      <c r="J430" s="9">
        <f t="shared" si="68"/>
        <v>0</v>
      </c>
      <c r="K430" s="9">
        <f t="shared" si="60"/>
        <v>0</v>
      </c>
    </row>
    <row r="431" spans="1:11" ht="15">
      <c r="A431" s="11" t="s">
        <v>92</v>
      </c>
      <c r="B431" s="19" t="s">
        <v>34</v>
      </c>
      <c r="C431" s="19" t="s">
        <v>7</v>
      </c>
      <c r="D431" s="19" t="s">
        <v>5</v>
      </c>
      <c r="E431" s="17">
        <v>77301</v>
      </c>
      <c r="F431" s="41" t="s">
        <v>219</v>
      </c>
      <c r="G431" s="19" t="s">
        <v>75</v>
      </c>
      <c r="H431" s="9">
        <f>6345.5-1+6.2</f>
        <v>6350.7</v>
      </c>
      <c r="I431" s="9">
        <f>6345.5-1+6.2</f>
        <v>6350.7</v>
      </c>
      <c r="J431" s="9">
        <f>I431-H431</f>
        <v>0</v>
      </c>
      <c r="K431" s="9">
        <f t="shared" si="60"/>
        <v>0</v>
      </c>
    </row>
    <row r="432" spans="1:11" ht="25.5">
      <c r="A432" s="11" t="s">
        <v>286</v>
      </c>
      <c r="B432" s="19" t="s">
        <v>34</v>
      </c>
      <c r="C432" s="19" t="s">
        <v>7</v>
      </c>
      <c r="D432" s="19" t="s">
        <v>5</v>
      </c>
      <c r="E432" s="17">
        <v>77301</v>
      </c>
      <c r="F432" s="41" t="s">
        <v>220</v>
      </c>
      <c r="G432" s="19"/>
      <c r="H432" s="9">
        <f aca="true" t="shared" si="69" ref="H432:J433">H433</f>
        <v>5508.3</v>
      </c>
      <c r="I432" s="9">
        <f t="shared" si="69"/>
        <v>5508.3</v>
      </c>
      <c r="J432" s="9">
        <f t="shared" si="69"/>
        <v>0</v>
      </c>
      <c r="K432" s="9">
        <f t="shared" si="60"/>
        <v>0</v>
      </c>
    </row>
    <row r="433" spans="1:11" ht="25.5">
      <c r="A433" s="11" t="s">
        <v>89</v>
      </c>
      <c r="B433" s="19" t="s">
        <v>34</v>
      </c>
      <c r="C433" s="19" t="s">
        <v>7</v>
      </c>
      <c r="D433" s="19" t="s">
        <v>5</v>
      </c>
      <c r="E433" s="17">
        <v>77301</v>
      </c>
      <c r="F433" s="41" t="s">
        <v>220</v>
      </c>
      <c r="G433" s="19" t="s">
        <v>74</v>
      </c>
      <c r="H433" s="9">
        <f t="shared" si="69"/>
        <v>5508.3</v>
      </c>
      <c r="I433" s="9">
        <f t="shared" si="69"/>
        <v>5508.3</v>
      </c>
      <c r="J433" s="9">
        <f t="shared" si="69"/>
        <v>0</v>
      </c>
      <c r="K433" s="9">
        <f t="shared" si="60"/>
        <v>0</v>
      </c>
    </row>
    <row r="434" spans="1:11" ht="15">
      <c r="A434" s="11" t="s">
        <v>92</v>
      </c>
      <c r="B434" s="19" t="s">
        <v>34</v>
      </c>
      <c r="C434" s="19" t="s">
        <v>7</v>
      </c>
      <c r="D434" s="19" t="s">
        <v>5</v>
      </c>
      <c r="E434" s="17">
        <v>77301</v>
      </c>
      <c r="F434" s="41" t="s">
        <v>220</v>
      </c>
      <c r="G434" s="19" t="s">
        <v>75</v>
      </c>
      <c r="H434" s="9">
        <f>5504+4.3</f>
        <v>5508.3</v>
      </c>
      <c r="I434" s="9">
        <f>5504+4.3</f>
        <v>5508.3</v>
      </c>
      <c r="J434" s="9">
        <f>I434-H434</f>
        <v>0</v>
      </c>
      <c r="K434" s="9">
        <f t="shared" si="60"/>
        <v>0</v>
      </c>
    </row>
    <row r="435" spans="1:11" ht="25.5">
      <c r="A435" s="11" t="s">
        <v>287</v>
      </c>
      <c r="B435" s="19" t="s">
        <v>34</v>
      </c>
      <c r="C435" s="19" t="s">
        <v>7</v>
      </c>
      <c r="D435" s="19" t="s">
        <v>5</v>
      </c>
      <c r="E435" s="17">
        <v>77302</v>
      </c>
      <c r="F435" s="18" t="s">
        <v>141</v>
      </c>
      <c r="G435" s="19"/>
      <c r="H435" s="9">
        <f aca="true" t="shared" si="70" ref="H435:J437">H436</f>
        <v>45.9</v>
      </c>
      <c r="I435" s="9">
        <f t="shared" si="70"/>
        <v>45.9</v>
      </c>
      <c r="J435" s="9">
        <f t="shared" si="70"/>
        <v>0</v>
      </c>
      <c r="K435" s="9">
        <f t="shared" si="60"/>
        <v>0</v>
      </c>
    </row>
    <row r="436" spans="1:11" ht="15">
      <c r="A436" s="11" t="s">
        <v>131</v>
      </c>
      <c r="B436" s="19" t="s">
        <v>34</v>
      </c>
      <c r="C436" s="19" t="s">
        <v>7</v>
      </c>
      <c r="D436" s="19" t="s">
        <v>5</v>
      </c>
      <c r="E436" s="17">
        <v>77302</v>
      </c>
      <c r="F436" s="41" t="s">
        <v>288</v>
      </c>
      <c r="G436" s="19"/>
      <c r="H436" s="9">
        <f t="shared" si="70"/>
        <v>45.9</v>
      </c>
      <c r="I436" s="9">
        <f t="shared" si="70"/>
        <v>45.9</v>
      </c>
      <c r="J436" s="9">
        <f t="shared" si="70"/>
        <v>0</v>
      </c>
      <c r="K436" s="9">
        <f t="shared" si="60"/>
        <v>0</v>
      </c>
    </row>
    <row r="437" spans="1:11" ht="25.5">
      <c r="A437" s="11" t="s">
        <v>89</v>
      </c>
      <c r="B437" s="19" t="s">
        <v>34</v>
      </c>
      <c r="C437" s="19" t="s">
        <v>7</v>
      </c>
      <c r="D437" s="19" t="s">
        <v>5</v>
      </c>
      <c r="E437" s="17">
        <v>77302</v>
      </c>
      <c r="F437" s="41" t="s">
        <v>288</v>
      </c>
      <c r="G437" s="19" t="s">
        <v>74</v>
      </c>
      <c r="H437" s="9">
        <f t="shared" si="70"/>
        <v>45.9</v>
      </c>
      <c r="I437" s="9">
        <f t="shared" si="70"/>
        <v>45.9</v>
      </c>
      <c r="J437" s="9">
        <f t="shared" si="70"/>
        <v>0</v>
      </c>
      <c r="K437" s="9">
        <f t="shared" si="60"/>
        <v>0</v>
      </c>
    </row>
    <row r="438" spans="1:11" ht="15">
      <c r="A438" s="11" t="s">
        <v>92</v>
      </c>
      <c r="B438" s="19" t="s">
        <v>34</v>
      </c>
      <c r="C438" s="19" t="s">
        <v>7</v>
      </c>
      <c r="D438" s="19" t="s">
        <v>5</v>
      </c>
      <c r="E438" s="17">
        <v>77302</v>
      </c>
      <c r="F438" s="41" t="s">
        <v>288</v>
      </c>
      <c r="G438" s="19" t="s">
        <v>75</v>
      </c>
      <c r="H438" s="9">
        <v>45.9</v>
      </c>
      <c r="I438" s="9">
        <v>45.9</v>
      </c>
      <c r="J438" s="9">
        <f>I438-H438</f>
        <v>0</v>
      </c>
      <c r="K438" s="9">
        <f t="shared" si="60"/>
        <v>0</v>
      </c>
    </row>
    <row r="439" spans="1:11" ht="25.5">
      <c r="A439" s="37" t="s">
        <v>289</v>
      </c>
      <c r="B439" s="19" t="s">
        <v>34</v>
      </c>
      <c r="C439" s="19" t="s">
        <v>7</v>
      </c>
      <c r="D439" s="19" t="s">
        <v>5</v>
      </c>
      <c r="E439" s="30">
        <v>77305</v>
      </c>
      <c r="F439" s="49" t="s">
        <v>141</v>
      </c>
      <c r="G439" s="19"/>
      <c r="H439" s="9">
        <f>H440+H443</f>
        <v>411.50000000000006</v>
      </c>
      <c r="I439" s="9">
        <f>I440+I443</f>
        <v>411.50000000000006</v>
      </c>
      <c r="J439" s="9">
        <f>J440+J443</f>
        <v>0</v>
      </c>
      <c r="K439" s="9">
        <f t="shared" si="60"/>
        <v>0</v>
      </c>
    </row>
    <row r="440" spans="1:11" ht="25.5">
      <c r="A440" s="11" t="s">
        <v>290</v>
      </c>
      <c r="B440" s="19" t="s">
        <v>34</v>
      </c>
      <c r="C440" s="19" t="s">
        <v>7</v>
      </c>
      <c r="D440" s="19" t="s">
        <v>5</v>
      </c>
      <c r="E440" s="30">
        <v>77305</v>
      </c>
      <c r="F440" s="30">
        <v>71800</v>
      </c>
      <c r="G440" s="19"/>
      <c r="H440" s="9">
        <f aca="true" t="shared" si="71" ref="H440:J441">H441</f>
        <v>410.90000000000003</v>
      </c>
      <c r="I440" s="9">
        <f t="shared" si="71"/>
        <v>410.90000000000003</v>
      </c>
      <c r="J440" s="9">
        <f t="shared" si="71"/>
        <v>0</v>
      </c>
      <c r="K440" s="9">
        <f t="shared" si="60"/>
        <v>0</v>
      </c>
    </row>
    <row r="441" spans="1:11" ht="25.5">
      <c r="A441" s="11" t="s">
        <v>89</v>
      </c>
      <c r="B441" s="19" t="s">
        <v>34</v>
      </c>
      <c r="C441" s="19" t="s">
        <v>7</v>
      </c>
      <c r="D441" s="19" t="s">
        <v>5</v>
      </c>
      <c r="E441" s="30">
        <v>77305</v>
      </c>
      <c r="F441" s="30">
        <v>71800</v>
      </c>
      <c r="G441" s="19" t="s">
        <v>74</v>
      </c>
      <c r="H441" s="9">
        <f t="shared" si="71"/>
        <v>410.90000000000003</v>
      </c>
      <c r="I441" s="9">
        <f t="shared" si="71"/>
        <v>410.90000000000003</v>
      </c>
      <c r="J441" s="9">
        <f t="shared" si="71"/>
        <v>0</v>
      </c>
      <c r="K441" s="9">
        <f t="shared" si="60"/>
        <v>0</v>
      </c>
    </row>
    <row r="442" spans="1:11" ht="15">
      <c r="A442" s="11" t="s">
        <v>92</v>
      </c>
      <c r="B442" s="19" t="s">
        <v>34</v>
      </c>
      <c r="C442" s="19" t="s">
        <v>7</v>
      </c>
      <c r="D442" s="19" t="s">
        <v>5</v>
      </c>
      <c r="E442" s="30">
        <v>77305</v>
      </c>
      <c r="F442" s="30">
        <v>71800</v>
      </c>
      <c r="G442" s="19" t="s">
        <v>75</v>
      </c>
      <c r="H442" s="9">
        <f>604.2-193.3</f>
        <v>410.90000000000003</v>
      </c>
      <c r="I442" s="9">
        <f>604.2-193.3</f>
        <v>410.90000000000003</v>
      </c>
      <c r="J442" s="9">
        <f>I442-H442</f>
        <v>0</v>
      </c>
      <c r="K442" s="9">
        <f t="shared" si="60"/>
        <v>0</v>
      </c>
    </row>
    <row r="443" spans="1:11" ht="25.5">
      <c r="A443" s="11" t="s">
        <v>291</v>
      </c>
      <c r="B443" s="19" t="s">
        <v>34</v>
      </c>
      <c r="C443" s="19" t="s">
        <v>7</v>
      </c>
      <c r="D443" s="19" t="s">
        <v>5</v>
      </c>
      <c r="E443" s="30">
        <v>77305</v>
      </c>
      <c r="F443" s="30" t="s">
        <v>292</v>
      </c>
      <c r="G443" s="19"/>
      <c r="H443" s="9">
        <f aca="true" t="shared" si="72" ref="H443:J444">H444</f>
        <v>0.6</v>
      </c>
      <c r="I443" s="9">
        <f t="shared" si="72"/>
        <v>0.6</v>
      </c>
      <c r="J443" s="9">
        <f t="shared" si="72"/>
        <v>0</v>
      </c>
      <c r="K443" s="9">
        <f t="shared" si="60"/>
        <v>0</v>
      </c>
    </row>
    <row r="444" spans="1:11" ht="25.5">
      <c r="A444" s="11" t="s">
        <v>89</v>
      </c>
      <c r="B444" s="19" t="s">
        <v>34</v>
      </c>
      <c r="C444" s="19" t="s">
        <v>7</v>
      </c>
      <c r="D444" s="19" t="s">
        <v>5</v>
      </c>
      <c r="E444" s="30">
        <v>77305</v>
      </c>
      <c r="F444" s="30" t="s">
        <v>292</v>
      </c>
      <c r="G444" s="19" t="s">
        <v>74</v>
      </c>
      <c r="H444" s="9">
        <f t="shared" si="72"/>
        <v>0.6</v>
      </c>
      <c r="I444" s="9">
        <f t="shared" si="72"/>
        <v>0.6</v>
      </c>
      <c r="J444" s="9">
        <f t="shared" si="72"/>
        <v>0</v>
      </c>
      <c r="K444" s="9">
        <f t="shared" si="60"/>
        <v>0</v>
      </c>
    </row>
    <row r="445" spans="1:11" ht="15">
      <c r="A445" s="11" t="s">
        <v>92</v>
      </c>
      <c r="B445" s="19" t="s">
        <v>34</v>
      </c>
      <c r="C445" s="19" t="s">
        <v>7</v>
      </c>
      <c r="D445" s="19" t="s">
        <v>5</v>
      </c>
      <c r="E445" s="30">
        <v>77305</v>
      </c>
      <c r="F445" s="30" t="s">
        <v>292</v>
      </c>
      <c r="G445" s="19" t="s">
        <v>75</v>
      </c>
      <c r="H445" s="9">
        <v>0.6</v>
      </c>
      <c r="I445" s="9">
        <v>0.6</v>
      </c>
      <c r="J445" s="9">
        <f>I445-H445</f>
        <v>0</v>
      </c>
      <c r="K445" s="9">
        <f t="shared" si="60"/>
        <v>0</v>
      </c>
    </row>
    <row r="446" spans="1:11" ht="12.75">
      <c r="A446" s="11" t="s">
        <v>20</v>
      </c>
      <c r="B446" s="19" t="s">
        <v>34</v>
      </c>
      <c r="C446" s="19" t="s">
        <v>7</v>
      </c>
      <c r="D446" s="19" t="s">
        <v>7</v>
      </c>
      <c r="E446" s="20"/>
      <c r="F446" s="20"/>
      <c r="G446" s="19"/>
      <c r="H446" s="9">
        <f>H447</f>
        <v>291.2</v>
      </c>
      <c r="I446" s="9">
        <f>I447</f>
        <v>290.7</v>
      </c>
      <c r="J446" s="9">
        <f>J447</f>
        <v>-0.5</v>
      </c>
      <c r="K446" s="9">
        <f t="shared" si="60"/>
        <v>-0.1717032967032992</v>
      </c>
    </row>
    <row r="447" spans="1:11" ht="25.5">
      <c r="A447" s="11" t="s">
        <v>105</v>
      </c>
      <c r="B447" s="19" t="s">
        <v>34</v>
      </c>
      <c r="C447" s="19" t="s">
        <v>7</v>
      </c>
      <c r="D447" s="19" t="s">
        <v>7</v>
      </c>
      <c r="E447" s="17">
        <v>79000</v>
      </c>
      <c r="F447" s="18" t="s">
        <v>141</v>
      </c>
      <c r="G447" s="19"/>
      <c r="H447" s="42">
        <f>H452+H448</f>
        <v>291.2</v>
      </c>
      <c r="I447" s="42">
        <f>I452+I448</f>
        <v>290.7</v>
      </c>
      <c r="J447" s="42">
        <f>J452+J448</f>
        <v>-0.5</v>
      </c>
      <c r="K447" s="9">
        <f t="shared" si="60"/>
        <v>-0.1717032967032992</v>
      </c>
    </row>
    <row r="448" spans="1:11" ht="38.25">
      <c r="A448" s="32" t="s">
        <v>293</v>
      </c>
      <c r="B448" s="19" t="s">
        <v>34</v>
      </c>
      <c r="C448" s="19" t="s">
        <v>7</v>
      </c>
      <c r="D448" s="19" t="s">
        <v>7</v>
      </c>
      <c r="E448" s="17">
        <v>79001</v>
      </c>
      <c r="F448" s="18" t="s">
        <v>141</v>
      </c>
      <c r="G448" s="20"/>
      <c r="H448" s="9">
        <f aca="true" t="shared" si="73" ref="H448:J450">H449</f>
        <v>280.7</v>
      </c>
      <c r="I448" s="9">
        <f t="shared" si="73"/>
        <v>280.2</v>
      </c>
      <c r="J448" s="9">
        <f t="shared" si="73"/>
        <v>-0.5</v>
      </c>
      <c r="K448" s="9">
        <f t="shared" si="60"/>
        <v>-0.17812611328821504</v>
      </c>
    </row>
    <row r="449" spans="1:11" ht="38.25">
      <c r="A449" s="32" t="s">
        <v>294</v>
      </c>
      <c r="B449" s="19" t="s">
        <v>34</v>
      </c>
      <c r="C449" s="19" t="s">
        <v>7</v>
      </c>
      <c r="D449" s="19" t="s">
        <v>7</v>
      </c>
      <c r="E449" s="17">
        <v>79001</v>
      </c>
      <c r="F449" s="17">
        <v>99990</v>
      </c>
      <c r="G449" s="20"/>
      <c r="H449" s="9">
        <f t="shared" si="73"/>
        <v>280.7</v>
      </c>
      <c r="I449" s="9">
        <f t="shared" si="73"/>
        <v>280.2</v>
      </c>
      <c r="J449" s="9">
        <f t="shared" si="73"/>
        <v>-0.5</v>
      </c>
      <c r="K449" s="9">
        <f t="shared" si="60"/>
        <v>-0.17812611328821504</v>
      </c>
    </row>
    <row r="450" spans="1:11" ht="25.5">
      <c r="A450" s="11" t="s">
        <v>73</v>
      </c>
      <c r="B450" s="19" t="s">
        <v>34</v>
      </c>
      <c r="C450" s="19" t="s">
        <v>7</v>
      </c>
      <c r="D450" s="19" t="s">
        <v>7</v>
      </c>
      <c r="E450" s="17">
        <v>79001</v>
      </c>
      <c r="F450" s="17">
        <v>99990</v>
      </c>
      <c r="G450" s="20" t="s">
        <v>74</v>
      </c>
      <c r="H450" s="9">
        <f t="shared" si="73"/>
        <v>280.7</v>
      </c>
      <c r="I450" s="9">
        <f t="shared" si="73"/>
        <v>280.2</v>
      </c>
      <c r="J450" s="9">
        <f t="shared" si="73"/>
        <v>-0.5</v>
      </c>
      <c r="K450" s="9">
        <f t="shared" si="60"/>
        <v>-0.17812611328821504</v>
      </c>
    </row>
    <row r="451" spans="1:11" ht="12.75">
      <c r="A451" s="11" t="s">
        <v>92</v>
      </c>
      <c r="B451" s="19" t="s">
        <v>34</v>
      </c>
      <c r="C451" s="19" t="s">
        <v>7</v>
      </c>
      <c r="D451" s="19" t="s">
        <v>7</v>
      </c>
      <c r="E451" s="17">
        <v>79001</v>
      </c>
      <c r="F451" s="17">
        <v>99990</v>
      </c>
      <c r="G451" s="20" t="s">
        <v>75</v>
      </c>
      <c r="H451" s="9">
        <v>280.7</v>
      </c>
      <c r="I451" s="9">
        <v>280.2</v>
      </c>
      <c r="J451" s="9">
        <f>I451-H451</f>
        <v>-0.5</v>
      </c>
      <c r="K451" s="9">
        <f t="shared" si="60"/>
        <v>-0.17812611328821504</v>
      </c>
    </row>
    <row r="452" spans="1:11" ht="25.5">
      <c r="A452" s="32" t="s">
        <v>221</v>
      </c>
      <c r="B452" s="19" t="s">
        <v>34</v>
      </c>
      <c r="C452" s="19" t="s">
        <v>7</v>
      </c>
      <c r="D452" s="19" t="s">
        <v>7</v>
      </c>
      <c r="E452" s="17">
        <v>79007</v>
      </c>
      <c r="F452" s="18" t="s">
        <v>141</v>
      </c>
      <c r="G452" s="19"/>
      <c r="H452" s="42">
        <f aca="true" t="shared" si="74" ref="H452:J454">H453</f>
        <v>10.5</v>
      </c>
      <c r="I452" s="42">
        <f t="shared" si="74"/>
        <v>10.5</v>
      </c>
      <c r="J452" s="42">
        <f t="shared" si="74"/>
        <v>0</v>
      </c>
      <c r="K452" s="9">
        <f t="shared" si="60"/>
        <v>0</v>
      </c>
    </row>
    <row r="453" spans="1:11" ht="12.75">
      <c r="A453" s="32" t="s">
        <v>121</v>
      </c>
      <c r="B453" s="19" t="s">
        <v>34</v>
      </c>
      <c r="C453" s="19" t="s">
        <v>7</v>
      </c>
      <c r="D453" s="19" t="s">
        <v>7</v>
      </c>
      <c r="E453" s="17">
        <v>79007</v>
      </c>
      <c r="F453" s="17">
        <v>99260</v>
      </c>
      <c r="G453" s="19"/>
      <c r="H453" s="42">
        <f t="shared" si="74"/>
        <v>10.5</v>
      </c>
      <c r="I453" s="42">
        <f t="shared" si="74"/>
        <v>10.5</v>
      </c>
      <c r="J453" s="42">
        <f t="shared" si="74"/>
        <v>0</v>
      </c>
      <c r="K453" s="9">
        <f t="shared" si="60"/>
        <v>0</v>
      </c>
    </row>
    <row r="454" spans="1:11" ht="25.5">
      <c r="A454" s="11" t="s">
        <v>62</v>
      </c>
      <c r="B454" s="19" t="s">
        <v>34</v>
      </c>
      <c r="C454" s="19" t="s">
        <v>7</v>
      </c>
      <c r="D454" s="19" t="s">
        <v>7</v>
      </c>
      <c r="E454" s="17">
        <v>79007</v>
      </c>
      <c r="F454" s="17">
        <v>99260</v>
      </c>
      <c r="G454" s="19" t="s">
        <v>61</v>
      </c>
      <c r="H454" s="42">
        <f t="shared" si="74"/>
        <v>10.5</v>
      </c>
      <c r="I454" s="42">
        <f t="shared" si="74"/>
        <v>10.5</v>
      </c>
      <c r="J454" s="42">
        <f t="shared" si="74"/>
        <v>0</v>
      </c>
      <c r="K454" s="9">
        <f t="shared" si="60"/>
        <v>0</v>
      </c>
    </row>
    <row r="455" spans="1:11" ht="25.5">
      <c r="A455" s="11" t="s">
        <v>63</v>
      </c>
      <c r="B455" s="19" t="s">
        <v>34</v>
      </c>
      <c r="C455" s="19" t="s">
        <v>7</v>
      </c>
      <c r="D455" s="19" t="s">
        <v>7</v>
      </c>
      <c r="E455" s="17">
        <v>79007</v>
      </c>
      <c r="F455" s="17">
        <v>99260</v>
      </c>
      <c r="G455" s="19" t="s">
        <v>17</v>
      </c>
      <c r="H455" s="42">
        <v>10.5</v>
      </c>
      <c r="I455" s="42">
        <v>10.5</v>
      </c>
      <c r="J455" s="9">
        <f>I455-H455</f>
        <v>0</v>
      </c>
      <c r="K455" s="9">
        <f t="shared" si="60"/>
        <v>0</v>
      </c>
    </row>
    <row r="456" spans="1:11" ht="12.75">
      <c r="A456" s="11" t="s">
        <v>23</v>
      </c>
      <c r="B456" s="19" t="s">
        <v>34</v>
      </c>
      <c r="C456" s="19" t="s">
        <v>7</v>
      </c>
      <c r="D456" s="19" t="s">
        <v>16</v>
      </c>
      <c r="E456" s="20"/>
      <c r="F456" s="20"/>
      <c r="G456" s="19"/>
      <c r="H456" s="42">
        <f>H457</f>
        <v>1916.1000000000001</v>
      </c>
      <c r="I456" s="42">
        <f>I457</f>
        <v>1822.3999999999999</v>
      </c>
      <c r="J456" s="42">
        <f>J457</f>
        <v>-93.70000000000006</v>
      </c>
      <c r="K456" s="9">
        <f t="shared" si="60"/>
        <v>-4.890141433119368</v>
      </c>
    </row>
    <row r="457" spans="1:11" ht="15">
      <c r="A457" s="11" t="s">
        <v>103</v>
      </c>
      <c r="B457" s="19" t="s">
        <v>34</v>
      </c>
      <c r="C457" s="19" t="s">
        <v>7</v>
      </c>
      <c r="D457" s="19" t="s">
        <v>16</v>
      </c>
      <c r="E457" s="30">
        <v>77000</v>
      </c>
      <c r="F457" s="18" t="s">
        <v>141</v>
      </c>
      <c r="G457" s="19"/>
      <c r="H457" s="42">
        <f>H458+H465+H472+H480+H484</f>
        <v>1916.1000000000001</v>
      </c>
      <c r="I457" s="42">
        <f>I458+I465+I472+I480+I484</f>
        <v>1822.3999999999999</v>
      </c>
      <c r="J457" s="42">
        <f>J458+J465+J472+J480+J484</f>
        <v>-93.70000000000006</v>
      </c>
      <c r="K457" s="9">
        <f t="shared" si="60"/>
        <v>-4.890141433119368</v>
      </c>
    </row>
    <row r="458" spans="1:11" ht="25.5">
      <c r="A458" s="11" t="s">
        <v>110</v>
      </c>
      <c r="B458" s="19" t="s">
        <v>34</v>
      </c>
      <c r="C458" s="19" t="s">
        <v>7</v>
      </c>
      <c r="D458" s="19" t="s">
        <v>16</v>
      </c>
      <c r="E458" s="30">
        <v>77100</v>
      </c>
      <c r="F458" s="18" t="s">
        <v>141</v>
      </c>
      <c r="G458" s="19"/>
      <c r="H458" s="42">
        <f aca="true" t="shared" si="75" ref="H458:J459">H459</f>
        <v>46.6</v>
      </c>
      <c r="I458" s="42">
        <f t="shared" si="75"/>
        <v>45.4</v>
      </c>
      <c r="J458" s="42">
        <f t="shared" si="75"/>
        <v>-1.2000000000000028</v>
      </c>
      <c r="K458" s="9">
        <f aca="true" t="shared" si="76" ref="K458:K521">I458/H458*100-100</f>
        <v>-2.5751072961373467</v>
      </c>
    </row>
    <row r="459" spans="1:11" ht="51">
      <c r="A459" s="11" t="s">
        <v>107</v>
      </c>
      <c r="B459" s="19" t="s">
        <v>34</v>
      </c>
      <c r="C459" s="19" t="s">
        <v>7</v>
      </c>
      <c r="D459" s="19" t="s">
        <v>16</v>
      </c>
      <c r="E459" s="30">
        <v>77107</v>
      </c>
      <c r="F459" s="18" t="s">
        <v>141</v>
      </c>
      <c r="G459" s="19"/>
      <c r="H459" s="42">
        <f t="shared" si="75"/>
        <v>46.6</v>
      </c>
      <c r="I459" s="42">
        <f t="shared" si="75"/>
        <v>45.4</v>
      </c>
      <c r="J459" s="42">
        <f t="shared" si="75"/>
        <v>-1.2000000000000028</v>
      </c>
      <c r="K459" s="9">
        <f t="shared" si="76"/>
        <v>-2.5751072961373467</v>
      </c>
    </row>
    <row r="460" spans="1:11" ht="51">
      <c r="A460" s="40" t="s">
        <v>222</v>
      </c>
      <c r="B460" s="19" t="s">
        <v>34</v>
      </c>
      <c r="C460" s="19" t="s">
        <v>7</v>
      </c>
      <c r="D460" s="19" t="s">
        <v>16</v>
      </c>
      <c r="E460" s="30">
        <v>77107</v>
      </c>
      <c r="F460" s="30">
        <v>77800</v>
      </c>
      <c r="G460" s="19"/>
      <c r="H460" s="42">
        <f>H461+H463</f>
        <v>46.6</v>
      </c>
      <c r="I460" s="42">
        <f>I461+I463</f>
        <v>45.4</v>
      </c>
      <c r="J460" s="42">
        <f>J461+J463</f>
        <v>-1.2000000000000028</v>
      </c>
      <c r="K460" s="9">
        <f t="shared" si="76"/>
        <v>-2.5751072961373467</v>
      </c>
    </row>
    <row r="461" spans="1:11" ht="51">
      <c r="A461" s="11" t="s">
        <v>58</v>
      </c>
      <c r="B461" s="19" t="s">
        <v>34</v>
      </c>
      <c r="C461" s="19" t="s">
        <v>7</v>
      </c>
      <c r="D461" s="19" t="s">
        <v>16</v>
      </c>
      <c r="E461" s="30">
        <v>77107</v>
      </c>
      <c r="F461" s="30">
        <v>77800</v>
      </c>
      <c r="G461" s="19" t="s">
        <v>57</v>
      </c>
      <c r="H461" s="9">
        <f>H462</f>
        <v>35.6</v>
      </c>
      <c r="I461" s="9">
        <f>I462</f>
        <v>34.4</v>
      </c>
      <c r="J461" s="9">
        <f>J462</f>
        <v>-1.2000000000000028</v>
      </c>
      <c r="K461" s="9">
        <f t="shared" si="76"/>
        <v>-3.37078651685394</v>
      </c>
    </row>
    <row r="462" spans="1:11" ht="15">
      <c r="A462" s="11" t="s">
        <v>77</v>
      </c>
      <c r="B462" s="19" t="s">
        <v>34</v>
      </c>
      <c r="C462" s="19" t="s">
        <v>7</v>
      </c>
      <c r="D462" s="19" t="s">
        <v>16</v>
      </c>
      <c r="E462" s="30">
        <v>77107</v>
      </c>
      <c r="F462" s="30">
        <v>77800</v>
      </c>
      <c r="G462" s="19" t="s">
        <v>76</v>
      </c>
      <c r="H462" s="9">
        <v>35.6</v>
      </c>
      <c r="I462" s="9">
        <v>34.4</v>
      </c>
      <c r="J462" s="9">
        <f>I462-H462</f>
        <v>-1.2000000000000028</v>
      </c>
      <c r="K462" s="9">
        <f t="shared" si="76"/>
        <v>-3.37078651685394</v>
      </c>
    </row>
    <row r="463" spans="1:11" ht="25.5">
      <c r="A463" s="11" t="s">
        <v>62</v>
      </c>
      <c r="B463" s="19" t="s">
        <v>34</v>
      </c>
      <c r="C463" s="19" t="s">
        <v>7</v>
      </c>
      <c r="D463" s="19" t="s">
        <v>16</v>
      </c>
      <c r="E463" s="30">
        <v>77107</v>
      </c>
      <c r="F463" s="30">
        <v>77800</v>
      </c>
      <c r="G463" s="19" t="s">
        <v>61</v>
      </c>
      <c r="H463" s="9">
        <f>H464</f>
        <v>11</v>
      </c>
      <c r="I463" s="9">
        <f>I464</f>
        <v>11</v>
      </c>
      <c r="J463" s="9">
        <f>J464</f>
        <v>0</v>
      </c>
      <c r="K463" s="9">
        <f t="shared" si="76"/>
        <v>0</v>
      </c>
    </row>
    <row r="464" spans="1:11" ht="25.5">
      <c r="A464" s="11" t="s">
        <v>63</v>
      </c>
      <c r="B464" s="19" t="s">
        <v>34</v>
      </c>
      <c r="C464" s="19" t="s">
        <v>7</v>
      </c>
      <c r="D464" s="19" t="s">
        <v>16</v>
      </c>
      <c r="E464" s="30">
        <v>77107</v>
      </c>
      <c r="F464" s="30">
        <v>77800</v>
      </c>
      <c r="G464" s="19" t="s">
        <v>17</v>
      </c>
      <c r="H464" s="9">
        <v>11</v>
      </c>
      <c r="I464" s="9">
        <v>11</v>
      </c>
      <c r="J464" s="9">
        <f>I464-H464</f>
        <v>0</v>
      </c>
      <c r="K464" s="9">
        <f t="shared" si="76"/>
        <v>0</v>
      </c>
    </row>
    <row r="465" spans="1:11" ht="25.5">
      <c r="A465" s="11" t="s">
        <v>111</v>
      </c>
      <c r="B465" s="19" t="s">
        <v>34</v>
      </c>
      <c r="C465" s="19" t="s">
        <v>7</v>
      </c>
      <c r="D465" s="19" t="s">
        <v>16</v>
      </c>
      <c r="E465" s="30">
        <v>77200</v>
      </c>
      <c r="F465" s="18" t="s">
        <v>141</v>
      </c>
      <c r="G465" s="19"/>
      <c r="H465" s="9">
        <f aca="true" t="shared" si="77" ref="H465:J466">H466</f>
        <v>46.3</v>
      </c>
      <c r="I465" s="9">
        <f t="shared" si="77"/>
        <v>46.3</v>
      </c>
      <c r="J465" s="9">
        <f t="shared" si="77"/>
        <v>0</v>
      </c>
      <c r="K465" s="9">
        <f t="shared" si="76"/>
        <v>0</v>
      </c>
    </row>
    <row r="466" spans="1:11" ht="15">
      <c r="A466" s="11" t="s">
        <v>217</v>
      </c>
      <c r="B466" s="19" t="s">
        <v>34</v>
      </c>
      <c r="C466" s="19" t="s">
        <v>7</v>
      </c>
      <c r="D466" s="19" t="s">
        <v>16</v>
      </c>
      <c r="E466" s="30">
        <v>77202</v>
      </c>
      <c r="F466" s="18" t="s">
        <v>141</v>
      </c>
      <c r="G466" s="19"/>
      <c r="H466" s="9">
        <f t="shared" si="77"/>
        <v>46.3</v>
      </c>
      <c r="I466" s="9">
        <f t="shared" si="77"/>
        <v>46.3</v>
      </c>
      <c r="J466" s="9">
        <f t="shared" si="77"/>
        <v>0</v>
      </c>
      <c r="K466" s="9">
        <f t="shared" si="76"/>
        <v>0</v>
      </c>
    </row>
    <row r="467" spans="1:11" ht="102">
      <c r="A467" s="26" t="s">
        <v>109</v>
      </c>
      <c r="B467" s="19" t="s">
        <v>34</v>
      </c>
      <c r="C467" s="19" t="s">
        <v>7</v>
      </c>
      <c r="D467" s="19" t="s">
        <v>16</v>
      </c>
      <c r="E467" s="30">
        <v>77202</v>
      </c>
      <c r="F467" s="30">
        <v>77300</v>
      </c>
      <c r="G467" s="19"/>
      <c r="H467" s="9">
        <f>H468+H470</f>
        <v>46.3</v>
      </c>
      <c r="I467" s="9">
        <f>I468+I470</f>
        <v>46.3</v>
      </c>
      <c r="J467" s="9">
        <f>J468+J470</f>
        <v>0</v>
      </c>
      <c r="K467" s="9">
        <f t="shared" si="76"/>
        <v>0</v>
      </c>
    </row>
    <row r="468" spans="1:11" ht="51">
      <c r="A468" s="11" t="s">
        <v>58</v>
      </c>
      <c r="B468" s="19" t="s">
        <v>34</v>
      </c>
      <c r="C468" s="19" t="s">
        <v>7</v>
      </c>
      <c r="D468" s="19" t="s">
        <v>16</v>
      </c>
      <c r="E468" s="30">
        <v>77202</v>
      </c>
      <c r="F468" s="30">
        <v>77300</v>
      </c>
      <c r="G468" s="19" t="s">
        <v>57</v>
      </c>
      <c r="H468" s="9">
        <f>H469</f>
        <v>43</v>
      </c>
      <c r="I468" s="9">
        <f>I469</f>
        <v>43</v>
      </c>
      <c r="J468" s="9">
        <f>J469</f>
        <v>0</v>
      </c>
      <c r="K468" s="9">
        <f t="shared" si="76"/>
        <v>0</v>
      </c>
    </row>
    <row r="469" spans="1:11" ht="15">
      <c r="A469" s="11" t="s">
        <v>77</v>
      </c>
      <c r="B469" s="19" t="s">
        <v>34</v>
      </c>
      <c r="C469" s="19" t="s">
        <v>7</v>
      </c>
      <c r="D469" s="19" t="s">
        <v>16</v>
      </c>
      <c r="E469" s="30">
        <v>77202</v>
      </c>
      <c r="F469" s="30">
        <v>77300</v>
      </c>
      <c r="G469" s="19" t="s">
        <v>76</v>
      </c>
      <c r="H469" s="9">
        <v>43</v>
      </c>
      <c r="I469" s="9">
        <v>43</v>
      </c>
      <c r="J469" s="9">
        <f>I469-H469</f>
        <v>0</v>
      </c>
      <c r="K469" s="9">
        <f t="shared" si="76"/>
        <v>0</v>
      </c>
    </row>
    <row r="470" spans="1:11" ht="25.5">
      <c r="A470" s="11" t="s">
        <v>62</v>
      </c>
      <c r="B470" s="19" t="s">
        <v>34</v>
      </c>
      <c r="C470" s="19" t="s">
        <v>7</v>
      </c>
      <c r="D470" s="19" t="s">
        <v>16</v>
      </c>
      <c r="E470" s="30">
        <v>77202</v>
      </c>
      <c r="F470" s="30">
        <v>77300</v>
      </c>
      <c r="G470" s="19" t="s">
        <v>61</v>
      </c>
      <c r="H470" s="9">
        <f>H471</f>
        <v>3.3000000000000003</v>
      </c>
      <c r="I470" s="9">
        <f>I471</f>
        <v>3.3000000000000003</v>
      </c>
      <c r="J470" s="9">
        <f>J471</f>
        <v>0</v>
      </c>
      <c r="K470" s="9">
        <f t="shared" si="76"/>
        <v>0</v>
      </c>
    </row>
    <row r="471" spans="1:11" ht="25.5">
      <c r="A471" s="11" t="s">
        <v>63</v>
      </c>
      <c r="B471" s="19" t="s">
        <v>34</v>
      </c>
      <c r="C471" s="19" t="s">
        <v>7</v>
      </c>
      <c r="D471" s="19" t="s">
        <v>16</v>
      </c>
      <c r="E471" s="30">
        <v>77202</v>
      </c>
      <c r="F471" s="30">
        <v>77300</v>
      </c>
      <c r="G471" s="19" t="s">
        <v>17</v>
      </c>
      <c r="H471" s="9">
        <f>5.7-2.4</f>
        <v>3.3000000000000003</v>
      </c>
      <c r="I471" s="9">
        <f>5.7-2.4</f>
        <v>3.3000000000000003</v>
      </c>
      <c r="J471" s="9">
        <f>I471-H471</f>
        <v>0</v>
      </c>
      <c r="K471" s="9">
        <f t="shared" si="76"/>
        <v>0</v>
      </c>
    </row>
    <row r="472" spans="1:11" ht="25.5">
      <c r="A472" s="14" t="s">
        <v>223</v>
      </c>
      <c r="B472" s="19" t="s">
        <v>34</v>
      </c>
      <c r="C472" s="19" t="s">
        <v>7</v>
      </c>
      <c r="D472" s="19" t="s">
        <v>16</v>
      </c>
      <c r="E472" s="17">
        <v>77001</v>
      </c>
      <c r="F472" s="18" t="s">
        <v>141</v>
      </c>
      <c r="G472" s="19"/>
      <c r="H472" s="9">
        <f>H473</f>
        <v>1688.3</v>
      </c>
      <c r="I472" s="9">
        <f>I473</f>
        <v>1598.6</v>
      </c>
      <c r="J472" s="9">
        <f>J473</f>
        <v>-89.70000000000005</v>
      </c>
      <c r="K472" s="9">
        <f t="shared" si="76"/>
        <v>-5.313036782562335</v>
      </c>
    </row>
    <row r="473" spans="1:11" ht="25.5">
      <c r="A473" s="14" t="s">
        <v>224</v>
      </c>
      <c r="B473" s="19" t="s">
        <v>34</v>
      </c>
      <c r="C473" s="19" t="s">
        <v>7</v>
      </c>
      <c r="D473" s="19" t="s">
        <v>16</v>
      </c>
      <c r="E473" s="17">
        <v>77001</v>
      </c>
      <c r="F473" s="18" t="s">
        <v>170</v>
      </c>
      <c r="G473" s="19"/>
      <c r="H473" s="9">
        <f>H474+H478+H476</f>
        <v>1688.3</v>
      </c>
      <c r="I473" s="9">
        <f>I474+I478+I476</f>
        <v>1598.6</v>
      </c>
      <c r="J473" s="9">
        <f>J474+J478+J476</f>
        <v>-89.70000000000005</v>
      </c>
      <c r="K473" s="9">
        <f t="shared" si="76"/>
        <v>-5.313036782562335</v>
      </c>
    </row>
    <row r="474" spans="1:11" ht="51">
      <c r="A474" s="11" t="s">
        <v>58</v>
      </c>
      <c r="B474" s="19" t="s">
        <v>34</v>
      </c>
      <c r="C474" s="19" t="s">
        <v>7</v>
      </c>
      <c r="D474" s="19" t="s">
        <v>16</v>
      </c>
      <c r="E474" s="17">
        <v>77001</v>
      </c>
      <c r="F474" s="18" t="s">
        <v>170</v>
      </c>
      <c r="G474" s="19" t="s">
        <v>57</v>
      </c>
      <c r="H474" s="9">
        <f>H475</f>
        <v>1563.8</v>
      </c>
      <c r="I474" s="9">
        <f>I475</f>
        <v>1496.1</v>
      </c>
      <c r="J474" s="9">
        <f>J475</f>
        <v>-67.70000000000005</v>
      </c>
      <c r="K474" s="9">
        <f t="shared" si="76"/>
        <v>-4.329198107174832</v>
      </c>
    </row>
    <row r="475" spans="1:11" ht="12.75">
      <c r="A475" s="11" t="s">
        <v>77</v>
      </c>
      <c r="B475" s="19" t="s">
        <v>34</v>
      </c>
      <c r="C475" s="19" t="s">
        <v>7</v>
      </c>
      <c r="D475" s="19" t="s">
        <v>16</v>
      </c>
      <c r="E475" s="17">
        <v>77001</v>
      </c>
      <c r="F475" s="18" t="s">
        <v>170</v>
      </c>
      <c r="G475" s="19" t="s">
        <v>76</v>
      </c>
      <c r="H475" s="9">
        <v>1563.8</v>
      </c>
      <c r="I475" s="9">
        <v>1496.1</v>
      </c>
      <c r="J475" s="9">
        <f>I475-H475</f>
        <v>-67.70000000000005</v>
      </c>
      <c r="K475" s="9">
        <f t="shared" si="76"/>
        <v>-4.329198107174832</v>
      </c>
    </row>
    <row r="476" spans="1:11" ht="25.5">
      <c r="A476" s="11" t="s">
        <v>62</v>
      </c>
      <c r="B476" s="19" t="s">
        <v>34</v>
      </c>
      <c r="C476" s="19" t="s">
        <v>7</v>
      </c>
      <c r="D476" s="19" t="s">
        <v>16</v>
      </c>
      <c r="E476" s="17">
        <v>77001</v>
      </c>
      <c r="F476" s="18" t="s">
        <v>170</v>
      </c>
      <c r="G476" s="19" t="s">
        <v>61</v>
      </c>
      <c r="H476" s="9">
        <f>H477</f>
        <v>121</v>
      </c>
      <c r="I476" s="9">
        <f>I477</f>
        <v>99</v>
      </c>
      <c r="J476" s="9">
        <f>J477</f>
        <v>-22</v>
      </c>
      <c r="K476" s="9">
        <f t="shared" si="76"/>
        <v>-18.181818181818173</v>
      </c>
    </row>
    <row r="477" spans="1:11" ht="25.5">
      <c r="A477" s="11" t="s">
        <v>63</v>
      </c>
      <c r="B477" s="19" t="s">
        <v>34</v>
      </c>
      <c r="C477" s="19" t="s">
        <v>7</v>
      </c>
      <c r="D477" s="19" t="s">
        <v>16</v>
      </c>
      <c r="E477" s="17">
        <v>77001</v>
      </c>
      <c r="F477" s="18" t="s">
        <v>170</v>
      </c>
      <c r="G477" s="19" t="s">
        <v>17</v>
      </c>
      <c r="H477" s="9">
        <f>17.9+65+5+33.1</f>
        <v>121</v>
      </c>
      <c r="I477" s="9">
        <v>99</v>
      </c>
      <c r="J477" s="9">
        <f>I477-H477</f>
        <v>-22</v>
      </c>
      <c r="K477" s="9">
        <f t="shared" si="76"/>
        <v>-18.181818181818173</v>
      </c>
    </row>
    <row r="478" spans="1:11" ht="12.75">
      <c r="A478" s="11" t="s">
        <v>66</v>
      </c>
      <c r="B478" s="19" t="s">
        <v>34</v>
      </c>
      <c r="C478" s="19" t="s">
        <v>7</v>
      </c>
      <c r="D478" s="19" t="s">
        <v>16</v>
      </c>
      <c r="E478" s="17">
        <v>77001</v>
      </c>
      <c r="F478" s="18" t="s">
        <v>170</v>
      </c>
      <c r="G478" s="19" t="s">
        <v>64</v>
      </c>
      <c r="H478" s="9">
        <f>H479</f>
        <v>3.500000000000001</v>
      </c>
      <c r="I478" s="9">
        <f>I479</f>
        <v>3.500000000000001</v>
      </c>
      <c r="J478" s="9">
        <f>J479</f>
        <v>0</v>
      </c>
      <c r="K478" s="9">
        <f t="shared" si="76"/>
        <v>0</v>
      </c>
    </row>
    <row r="479" spans="1:11" ht="12.75">
      <c r="A479" s="11" t="s">
        <v>67</v>
      </c>
      <c r="B479" s="19" t="s">
        <v>34</v>
      </c>
      <c r="C479" s="19" t="s">
        <v>7</v>
      </c>
      <c r="D479" s="19" t="s">
        <v>16</v>
      </c>
      <c r="E479" s="17">
        <v>77001</v>
      </c>
      <c r="F479" s="18" t="s">
        <v>170</v>
      </c>
      <c r="G479" s="19" t="s">
        <v>65</v>
      </c>
      <c r="H479" s="9">
        <f>3.6+0.8+1-0.8-0.1-1</f>
        <v>3.500000000000001</v>
      </c>
      <c r="I479" s="9">
        <f>3.6+0.8+1-0.8-0.1-1</f>
        <v>3.500000000000001</v>
      </c>
      <c r="J479" s="9">
        <f>I479-H479</f>
        <v>0</v>
      </c>
      <c r="K479" s="9">
        <f t="shared" si="76"/>
        <v>0</v>
      </c>
    </row>
    <row r="480" spans="1:11" ht="25.5">
      <c r="A480" s="32" t="s">
        <v>225</v>
      </c>
      <c r="B480" s="19" t="s">
        <v>34</v>
      </c>
      <c r="C480" s="19" t="s">
        <v>7</v>
      </c>
      <c r="D480" s="19" t="s">
        <v>16</v>
      </c>
      <c r="E480" s="17">
        <v>77002</v>
      </c>
      <c r="F480" s="18" t="s">
        <v>141</v>
      </c>
      <c r="G480" s="19"/>
      <c r="H480" s="9">
        <f aca="true" t="shared" si="78" ref="H480:J482">H481</f>
        <v>84.9</v>
      </c>
      <c r="I480" s="9">
        <f t="shared" si="78"/>
        <v>83.8</v>
      </c>
      <c r="J480" s="9">
        <f t="shared" si="78"/>
        <v>-1.1000000000000085</v>
      </c>
      <c r="K480" s="9">
        <f t="shared" si="76"/>
        <v>-1.2956419316843437</v>
      </c>
    </row>
    <row r="481" spans="1:11" ht="25.5">
      <c r="A481" s="32" t="s">
        <v>226</v>
      </c>
      <c r="B481" s="19" t="s">
        <v>34</v>
      </c>
      <c r="C481" s="19" t="s">
        <v>7</v>
      </c>
      <c r="D481" s="19" t="s">
        <v>16</v>
      </c>
      <c r="E481" s="17">
        <v>77002</v>
      </c>
      <c r="F481" s="17">
        <v>99180</v>
      </c>
      <c r="G481" s="19"/>
      <c r="H481" s="9">
        <f t="shared" si="78"/>
        <v>84.9</v>
      </c>
      <c r="I481" s="9">
        <f t="shared" si="78"/>
        <v>83.8</v>
      </c>
      <c r="J481" s="9">
        <f t="shared" si="78"/>
        <v>-1.1000000000000085</v>
      </c>
      <c r="K481" s="9">
        <f t="shared" si="76"/>
        <v>-1.2956419316843437</v>
      </c>
    </row>
    <row r="482" spans="1:11" ht="25.5">
      <c r="A482" s="11" t="s">
        <v>62</v>
      </c>
      <c r="B482" s="19" t="s">
        <v>34</v>
      </c>
      <c r="C482" s="19" t="s">
        <v>7</v>
      </c>
      <c r="D482" s="19" t="s">
        <v>16</v>
      </c>
      <c r="E482" s="17">
        <v>77002</v>
      </c>
      <c r="F482" s="17">
        <v>99180</v>
      </c>
      <c r="G482" s="19" t="s">
        <v>61</v>
      </c>
      <c r="H482" s="9">
        <f t="shared" si="78"/>
        <v>84.9</v>
      </c>
      <c r="I482" s="9">
        <f t="shared" si="78"/>
        <v>83.8</v>
      </c>
      <c r="J482" s="9">
        <f t="shared" si="78"/>
        <v>-1.1000000000000085</v>
      </c>
      <c r="K482" s="9">
        <f t="shared" si="76"/>
        <v>-1.2956419316843437</v>
      </c>
    </row>
    <row r="483" spans="1:11" ht="25.5">
      <c r="A483" s="11" t="s">
        <v>63</v>
      </c>
      <c r="B483" s="19" t="s">
        <v>34</v>
      </c>
      <c r="C483" s="19" t="s">
        <v>7</v>
      </c>
      <c r="D483" s="19" t="s">
        <v>16</v>
      </c>
      <c r="E483" s="17">
        <v>77002</v>
      </c>
      <c r="F483" s="17">
        <v>99180</v>
      </c>
      <c r="G483" s="19" t="s">
        <v>17</v>
      </c>
      <c r="H483" s="9">
        <v>84.9</v>
      </c>
      <c r="I483" s="9">
        <v>83.8</v>
      </c>
      <c r="J483" s="9">
        <f>I483-H483</f>
        <v>-1.1000000000000085</v>
      </c>
      <c r="K483" s="9">
        <f t="shared" si="76"/>
        <v>-1.2956419316843437</v>
      </c>
    </row>
    <row r="484" spans="1:11" ht="25.5">
      <c r="A484" s="32" t="s">
        <v>227</v>
      </c>
      <c r="B484" s="19" t="s">
        <v>34</v>
      </c>
      <c r="C484" s="19" t="s">
        <v>7</v>
      </c>
      <c r="D484" s="19" t="s">
        <v>16</v>
      </c>
      <c r="E484" s="17">
        <v>77003</v>
      </c>
      <c r="F484" s="18" t="s">
        <v>141</v>
      </c>
      <c r="G484" s="19"/>
      <c r="H484" s="9">
        <f aca="true" t="shared" si="79" ref="H484:J486">H485</f>
        <v>50</v>
      </c>
      <c r="I484" s="9">
        <f t="shared" si="79"/>
        <v>48.3</v>
      </c>
      <c r="J484" s="9">
        <f t="shared" si="79"/>
        <v>-1.7000000000000028</v>
      </c>
      <c r="K484" s="9">
        <f t="shared" si="76"/>
        <v>-3.4000000000000057</v>
      </c>
    </row>
    <row r="485" spans="1:11" ht="12.75">
      <c r="A485" s="32" t="s">
        <v>122</v>
      </c>
      <c r="B485" s="19" t="s">
        <v>34</v>
      </c>
      <c r="C485" s="19" t="s">
        <v>7</v>
      </c>
      <c r="D485" s="19" t="s">
        <v>16</v>
      </c>
      <c r="E485" s="17">
        <v>77003</v>
      </c>
      <c r="F485" s="17">
        <v>99190</v>
      </c>
      <c r="G485" s="19"/>
      <c r="H485" s="9">
        <f t="shared" si="79"/>
        <v>50</v>
      </c>
      <c r="I485" s="9">
        <f t="shared" si="79"/>
        <v>48.3</v>
      </c>
      <c r="J485" s="9">
        <f t="shared" si="79"/>
        <v>-1.7000000000000028</v>
      </c>
      <c r="K485" s="9">
        <f t="shared" si="76"/>
        <v>-3.4000000000000057</v>
      </c>
    </row>
    <row r="486" spans="1:11" ht="25.5">
      <c r="A486" s="11" t="s">
        <v>62</v>
      </c>
      <c r="B486" s="19" t="s">
        <v>34</v>
      </c>
      <c r="C486" s="19" t="s">
        <v>7</v>
      </c>
      <c r="D486" s="19" t="s">
        <v>16</v>
      </c>
      <c r="E486" s="17">
        <v>77003</v>
      </c>
      <c r="F486" s="17">
        <v>99190</v>
      </c>
      <c r="G486" s="19" t="s">
        <v>61</v>
      </c>
      <c r="H486" s="9">
        <f t="shared" si="79"/>
        <v>50</v>
      </c>
      <c r="I486" s="9">
        <f t="shared" si="79"/>
        <v>48.3</v>
      </c>
      <c r="J486" s="9">
        <f t="shared" si="79"/>
        <v>-1.7000000000000028</v>
      </c>
      <c r="K486" s="9">
        <f t="shared" si="76"/>
        <v>-3.4000000000000057</v>
      </c>
    </row>
    <row r="487" spans="1:11" ht="25.5">
      <c r="A487" s="11" t="s">
        <v>63</v>
      </c>
      <c r="B487" s="19" t="s">
        <v>34</v>
      </c>
      <c r="C487" s="19" t="s">
        <v>7</v>
      </c>
      <c r="D487" s="19" t="s">
        <v>16</v>
      </c>
      <c r="E487" s="17">
        <v>77003</v>
      </c>
      <c r="F487" s="17">
        <v>99190</v>
      </c>
      <c r="G487" s="19" t="s">
        <v>17</v>
      </c>
      <c r="H487" s="9">
        <v>50</v>
      </c>
      <c r="I487" s="9">
        <v>48.3</v>
      </c>
      <c r="J487" s="9">
        <f>I487-H487</f>
        <v>-1.7000000000000028</v>
      </c>
      <c r="K487" s="9">
        <f t="shared" si="76"/>
        <v>-3.4000000000000057</v>
      </c>
    </row>
    <row r="488" spans="1:11" ht="12.75">
      <c r="A488" s="11" t="s">
        <v>50</v>
      </c>
      <c r="B488" s="19" t="s">
        <v>34</v>
      </c>
      <c r="C488" s="19" t="s">
        <v>3</v>
      </c>
      <c r="D488" s="19"/>
      <c r="E488" s="19"/>
      <c r="F488" s="19"/>
      <c r="G488" s="19"/>
      <c r="H488" s="9">
        <f>H489</f>
        <v>12340.400000000001</v>
      </c>
      <c r="I488" s="9">
        <f>I489</f>
        <v>11739.800000000001</v>
      </c>
      <c r="J488" s="9">
        <f>J489</f>
        <v>-600.6</v>
      </c>
      <c r="K488" s="9">
        <f t="shared" si="76"/>
        <v>-4.866941104016078</v>
      </c>
    </row>
    <row r="489" spans="1:11" ht="12.75">
      <c r="A489" s="11" t="s">
        <v>27</v>
      </c>
      <c r="B489" s="19" t="s">
        <v>34</v>
      </c>
      <c r="C489" s="19" t="s">
        <v>3</v>
      </c>
      <c r="D489" s="19" t="s">
        <v>1</v>
      </c>
      <c r="E489" s="19"/>
      <c r="F489" s="19"/>
      <c r="G489" s="19"/>
      <c r="H489" s="9">
        <f>H502+H490+H497</f>
        <v>12340.400000000001</v>
      </c>
      <c r="I489" s="9">
        <f>I502+I490+I497</f>
        <v>11739.800000000001</v>
      </c>
      <c r="J489" s="9">
        <f>J502+J490+J497</f>
        <v>-600.6</v>
      </c>
      <c r="K489" s="9">
        <f t="shared" si="76"/>
        <v>-4.866941104016078</v>
      </c>
    </row>
    <row r="490" spans="1:11" ht="12.75">
      <c r="A490" s="11" t="s">
        <v>99</v>
      </c>
      <c r="B490" s="19" t="s">
        <v>34</v>
      </c>
      <c r="C490" s="19" t="s">
        <v>3</v>
      </c>
      <c r="D490" s="19" t="s">
        <v>1</v>
      </c>
      <c r="E490" s="17">
        <v>72000</v>
      </c>
      <c r="F490" s="18" t="s">
        <v>141</v>
      </c>
      <c r="G490" s="19"/>
      <c r="H490" s="9">
        <f aca="true" t="shared" si="80" ref="H490:J491">H491</f>
        <v>19.5</v>
      </c>
      <c r="I490" s="9">
        <f t="shared" si="80"/>
        <v>18.5</v>
      </c>
      <c r="J490" s="9">
        <f t="shared" si="80"/>
        <v>-1</v>
      </c>
      <c r="K490" s="9">
        <f t="shared" si="76"/>
        <v>-5.128205128205138</v>
      </c>
    </row>
    <row r="491" spans="1:11" ht="25.5">
      <c r="A491" s="11" t="s">
        <v>240</v>
      </c>
      <c r="B491" s="19" t="s">
        <v>34</v>
      </c>
      <c r="C491" s="19" t="s">
        <v>3</v>
      </c>
      <c r="D491" s="19" t="s">
        <v>1</v>
      </c>
      <c r="E491" s="17">
        <v>72001</v>
      </c>
      <c r="F491" s="18" t="s">
        <v>141</v>
      </c>
      <c r="G491" s="19"/>
      <c r="H491" s="9">
        <f t="shared" si="80"/>
        <v>19.5</v>
      </c>
      <c r="I491" s="9">
        <f t="shared" si="80"/>
        <v>18.5</v>
      </c>
      <c r="J491" s="9">
        <f t="shared" si="80"/>
        <v>-1</v>
      </c>
      <c r="K491" s="9">
        <f t="shared" si="76"/>
        <v>-5.128205128205138</v>
      </c>
    </row>
    <row r="492" spans="1:11" ht="25.5">
      <c r="A492" s="11" t="s">
        <v>241</v>
      </c>
      <c r="B492" s="19" t="s">
        <v>34</v>
      </c>
      <c r="C492" s="19" t="s">
        <v>3</v>
      </c>
      <c r="D492" s="19" t="s">
        <v>1</v>
      </c>
      <c r="E492" s="17">
        <v>72001</v>
      </c>
      <c r="F492" s="17">
        <v>99990</v>
      </c>
      <c r="G492" s="19"/>
      <c r="H492" s="9">
        <f>H493+H495</f>
        <v>19.5</v>
      </c>
      <c r="I492" s="9">
        <f>I493+I495</f>
        <v>18.5</v>
      </c>
      <c r="J492" s="9">
        <f>J493+J495</f>
        <v>-1</v>
      </c>
      <c r="K492" s="9">
        <f t="shared" si="76"/>
        <v>-5.128205128205138</v>
      </c>
    </row>
    <row r="493" spans="1:11" ht="25.5">
      <c r="A493" s="11" t="s">
        <v>62</v>
      </c>
      <c r="B493" s="19" t="s">
        <v>34</v>
      </c>
      <c r="C493" s="19" t="s">
        <v>3</v>
      </c>
      <c r="D493" s="19" t="s">
        <v>1</v>
      </c>
      <c r="E493" s="17">
        <v>72001</v>
      </c>
      <c r="F493" s="17">
        <v>99990</v>
      </c>
      <c r="G493" s="19" t="s">
        <v>61</v>
      </c>
      <c r="H493" s="9">
        <f>H494</f>
        <v>16</v>
      </c>
      <c r="I493" s="9">
        <f>I494</f>
        <v>16</v>
      </c>
      <c r="J493" s="9">
        <f>J494</f>
        <v>0</v>
      </c>
      <c r="K493" s="9">
        <f t="shared" si="76"/>
        <v>0</v>
      </c>
    </row>
    <row r="494" spans="1:11" ht="25.5">
      <c r="A494" s="11" t="s">
        <v>63</v>
      </c>
      <c r="B494" s="19" t="s">
        <v>34</v>
      </c>
      <c r="C494" s="19" t="s">
        <v>3</v>
      </c>
      <c r="D494" s="19" t="s">
        <v>1</v>
      </c>
      <c r="E494" s="17">
        <v>72001</v>
      </c>
      <c r="F494" s="17">
        <v>99990</v>
      </c>
      <c r="G494" s="19" t="s">
        <v>17</v>
      </c>
      <c r="H494" s="9">
        <v>16</v>
      </c>
      <c r="I494" s="9">
        <v>16</v>
      </c>
      <c r="J494" s="9">
        <f>I494-H494</f>
        <v>0</v>
      </c>
      <c r="K494" s="9">
        <f t="shared" si="76"/>
        <v>0</v>
      </c>
    </row>
    <row r="495" spans="1:11" ht="25.5">
      <c r="A495" s="11" t="s">
        <v>73</v>
      </c>
      <c r="B495" s="19" t="s">
        <v>34</v>
      </c>
      <c r="C495" s="19" t="s">
        <v>3</v>
      </c>
      <c r="D495" s="19" t="s">
        <v>1</v>
      </c>
      <c r="E495" s="17">
        <v>72001</v>
      </c>
      <c r="F495" s="17">
        <v>99990</v>
      </c>
      <c r="G495" s="19" t="s">
        <v>74</v>
      </c>
      <c r="H495" s="9">
        <f>H496</f>
        <v>3.5</v>
      </c>
      <c r="I495" s="9">
        <f>I496</f>
        <v>2.5</v>
      </c>
      <c r="J495" s="9">
        <f>J496</f>
        <v>-1</v>
      </c>
      <c r="K495" s="9">
        <f t="shared" si="76"/>
        <v>-28.57142857142857</v>
      </c>
    </row>
    <row r="496" spans="1:11" ht="12.75">
      <c r="A496" s="11" t="s">
        <v>92</v>
      </c>
      <c r="B496" s="19" t="s">
        <v>34</v>
      </c>
      <c r="C496" s="19" t="s">
        <v>3</v>
      </c>
      <c r="D496" s="19" t="s">
        <v>1</v>
      </c>
      <c r="E496" s="17">
        <v>72001</v>
      </c>
      <c r="F496" s="17">
        <v>99990</v>
      </c>
      <c r="G496" s="19" t="s">
        <v>75</v>
      </c>
      <c r="H496" s="9">
        <f>4.5-1</f>
        <v>3.5</v>
      </c>
      <c r="I496" s="9">
        <v>2.5</v>
      </c>
      <c r="J496" s="9">
        <f>I496-H496</f>
        <v>-1</v>
      </c>
      <c r="K496" s="9">
        <f t="shared" si="76"/>
        <v>-28.57142857142857</v>
      </c>
    </row>
    <row r="497" spans="1:11" ht="25.5">
      <c r="A497" s="11" t="s">
        <v>245</v>
      </c>
      <c r="B497" s="20" t="s">
        <v>34</v>
      </c>
      <c r="C497" s="19" t="s">
        <v>3</v>
      </c>
      <c r="D497" s="19" t="s">
        <v>1</v>
      </c>
      <c r="E497" s="17">
        <v>76000</v>
      </c>
      <c r="F497" s="16" t="s">
        <v>141</v>
      </c>
      <c r="G497" s="20"/>
      <c r="H497" s="9">
        <f aca="true" t="shared" si="81" ref="H497:J500">H498</f>
        <v>20</v>
      </c>
      <c r="I497" s="9">
        <f t="shared" si="81"/>
        <v>20</v>
      </c>
      <c r="J497" s="9">
        <f t="shared" si="81"/>
        <v>0</v>
      </c>
      <c r="K497" s="9">
        <f t="shared" si="76"/>
        <v>0</v>
      </c>
    </row>
    <row r="498" spans="1:11" ht="25.5">
      <c r="A498" s="11" t="s">
        <v>246</v>
      </c>
      <c r="B498" s="20" t="s">
        <v>34</v>
      </c>
      <c r="C498" s="19" t="s">
        <v>3</v>
      </c>
      <c r="D498" s="19" t="s">
        <v>1</v>
      </c>
      <c r="E498" s="17">
        <v>76003</v>
      </c>
      <c r="F498" s="16" t="s">
        <v>141</v>
      </c>
      <c r="G498" s="20"/>
      <c r="H498" s="9">
        <f t="shared" si="81"/>
        <v>20</v>
      </c>
      <c r="I498" s="9">
        <f t="shared" si="81"/>
        <v>20</v>
      </c>
      <c r="J498" s="9">
        <f t="shared" si="81"/>
        <v>0</v>
      </c>
      <c r="K498" s="9">
        <f t="shared" si="76"/>
        <v>0</v>
      </c>
    </row>
    <row r="499" spans="1:11" ht="12.75">
      <c r="A499" s="11" t="s">
        <v>247</v>
      </c>
      <c r="B499" s="20" t="s">
        <v>34</v>
      </c>
      <c r="C499" s="19" t="s">
        <v>3</v>
      </c>
      <c r="D499" s="19" t="s">
        <v>1</v>
      </c>
      <c r="E499" s="17">
        <v>76003</v>
      </c>
      <c r="F499" s="17">
        <v>99130</v>
      </c>
      <c r="G499" s="20"/>
      <c r="H499" s="9">
        <f t="shared" si="81"/>
        <v>20</v>
      </c>
      <c r="I499" s="9">
        <f t="shared" si="81"/>
        <v>20</v>
      </c>
      <c r="J499" s="9">
        <f t="shared" si="81"/>
        <v>0</v>
      </c>
      <c r="K499" s="9">
        <f t="shared" si="76"/>
        <v>0</v>
      </c>
    </row>
    <row r="500" spans="1:11" ht="25.5">
      <c r="A500" s="11" t="s">
        <v>89</v>
      </c>
      <c r="B500" s="20" t="s">
        <v>34</v>
      </c>
      <c r="C500" s="19" t="s">
        <v>3</v>
      </c>
      <c r="D500" s="19" t="s">
        <v>1</v>
      </c>
      <c r="E500" s="17">
        <v>76003</v>
      </c>
      <c r="F500" s="17">
        <v>99130</v>
      </c>
      <c r="G500" s="19" t="s">
        <v>74</v>
      </c>
      <c r="H500" s="9">
        <f t="shared" si="81"/>
        <v>20</v>
      </c>
      <c r="I500" s="9">
        <f t="shared" si="81"/>
        <v>20</v>
      </c>
      <c r="J500" s="9">
        <f t="shared" si="81"/>
        <v>0</v>
      </c>
      <c r="K500" s="9">
        <f t="shared" si="76"/>
        <v>0</v>
      </c>
    </row>
    <row r="501" spans="1:11" ht="12.75">
      <c r="A501" s="11" t="s">
        <v>92</v>
      </c>
      <c r="B501" s="20" t="s">
        <v>34</v>
      </c>
      <c r="C501" s="19" t="s">
        <v>3</v>
      </c>
      <c r="D501" s="19" t="s">
        <v>1</v>
      </c>
      <c r="E501" s="17">
        <v>76003</v>
      </c>
      <c r="F501" s="17">
        <v>99130</v>
      </c>
      <c r="G501" s="19" t="s">
        <v>75</v>
      </c>
      <c r="H501" s="9">
        <v>20</v>
      </c>
      <c r="I501" s="9">
        <v>20</v>
      </c>
      <c r="J501" s="9">
        <f>I501-H501</f>
        <v>0</v>
      </c>
      <c r="K501" s="9">
        <f t="shared" si="76"/>
        <v>0</v>
      </c>
    </row>
    <row r="502" spans="1:11" ht="25.5">
      <c r="A502" s="11" t="s">
        <v>104</v>
      </c>
      <c r="B502" s="19" t="s">
        <v>34</v>
      </c>
      <c r="C502" s="19" t="s">
        <v>3</v>
      </c>
      <c r="D502" s="19" t="s">
        <v>1</v>
      </c>
      <c r="E502" s="17">
        <v>78000</v>
      </c>
      <c r="F502" s="18" t="s">
        <v>141</v>
      </c>
      <c r="G502" s="19"/>
      <c r="H502" s="9">
        <f>H503+H507+H511+H518+H522</f>
        <v>12300.900000000001</v>
      </c>
      <c r="I502" s="9">
        <f>I503+I507+I511+I518+I522</f>
        <v>11701.300000000001</v>
      </c>
      <c r="J502" s="9">
        <f>J503+J507+J511+J518+J522</f>
        <v>-599.6</v>
      </c>
      <c r="K502" s="9">
        <f t="shared" si="76"/>
        <v>-4.874440081620051</v>
      </c>
    </row>
    <row r="503" spans="1:11" ht="25.5">
      <c r="A503" s="11" t="s">
        <v>123</v>
      </c>
      <c r="B503" s="19" t="s">
        <v>34</v>
      </c>
      <c r="C503" s="19" t="s">
        <v>3</v>
      </c>
      <c r="D503" s="19" t="s">
        <v>1</v>
      </c>
      <c r="E503" s="17">
        <v>78001</v>
      </c>
      <c r="F503" s="18" t="s">
        <v>141</v>
      </c>
      <c r="G503" s="20"/>
      <c r="H503" s="9">
        <f aca="true" t="shared" si="82" ref="H503:J505">H504</f>
        <v>1064.8</v>
      </c>
      <c r="I503" s="9">
        <f t="shared" si="82"/>
        <v>1064.8</v>
      </c>
      <c r="J503" s="9">
        <f t="shared" si="82"/>
        <v>0</v>
      </c>
      <c r="K503" s="9">
        <f t="shared" si="76"/>
        <v>0</v>
      </c>
    </row>
    <row r="504" spans="1:11" ht="25.5">
      <c r="A504" s="11" t="s">
        <v>123</v>
      </c>
      <c r="B504" s="19" t="s">
        <v>34</v>
      </c>
      <c r="C504" s="19" t="s">
        <v>3</v>
      </c>
      <c r="D504" s="19" t="s">
        <v>1</v>
      </c>
      <c r="E504" s="17">
        <v>78001</v>
      </c>
      <c r="F504" s="17">
        <v>99200</v>
      </c>
      <c r="G504" s="20"/>
      <c r="H504" s="9">
        <f t="shared" si="82"/>
        <v>1064.8</v>
      </c>
      <c r="I504" s="9">
        <f t="shared" si="82"/>
        <v>1064.8</v>
      </c>
      <c r="J504" s="9">
        <f t="shared" si="82"/>
        <v>0</v>
      </c>
      <c r="K504" s="9">
        <f t="shared" si="76"/>
        <v>0</v>
      </c>
    </row>
    <row r="505" spans="1:11" ht="25.5">
      <c r="A505" s="11" t="s">
        <v>89</v>
      </c>
      <c r="B505" s="19" t="s">
        <v>34</v>
      </c>
      <c r="C505" s="19" t="s">
        <v>3</v>
      </c>
      <c r="D505" s="19" t="s">
        <v>1</v>
      </c>
      <c r="E505" s="17">
        <v>78001</v>
      </c>
      <c r="F505" s="17">
        <v>99200</v>
      </c>
      <c r="G505" s="20" t="s">
        <v>74</v>
      </c>
      <c r="H505" s="9">
        <f t="shared" si="82"/>
        <v>1064.8</v>
      </c>
      <c r="I505" s="9">
        <f t="shared" si="82"/>
        <v>1064.8</v>
      </c>
      <c r="J505" s="9">
        <f t="shared" si="82"/>
        <v>0</v>
      </c>
      <c r="K505" s="9">
        <f t="shared" si="76"/>
        <v>0</v>
      </c>
    </row>
    <row r="506" spans="1:11" ht="12.75">
      <c r="A506" s="11" t="s">
        <v>92</v>
      </c>
      <c r="B506" s="19" t="s">
        <v>34</v>
      </c>
      <c r="C506" s="19" t="s">
        <v>3</v>
      </c>
      <c r="D506" s="19" t="s">
        <v>1</v>
      </c>
      <c r="E506" s="17">
        <v>78001</v>
      </c>
      <c r="F506" s="17">
        <v>99200</v>
      </c>
      <c r="G506" s="20" t="s">
        <v>75</v>
      </c>
      <c r="H506" s="9">
        <f>787.7+293.5-6-10.4</f>
        <v>1064.8</v>
      </c>
      <c r="I506" s="9">
        <f>787.7+293.5-6-10.4</f>
        <v>1064.8</v>
      </c>
      <c r="J506" s="9">
        <f>I506-H506</f>
        <v>0</v>
      </c>
      <c r="K506" s="9">
        <f t="shared" si="76"/>
        <v>0</v>
      </c>
    </row>
    <row r="507" spans="1:11" ht="25.5">
      <c r="A507" s="32" t="s">
        <v>228</v>
      </c>
      <c r="B507" s="19" t="s">
        <v>34</v>
      </c>
      <c r="C507" s="19" t="s">
        <v>3</v>
      </c>
      <c r="D507" s="19" t="s">
        <v>1</v>
      </c>
      <c r="E507" s="17">
        <v>78003</v>
      </c>
      <c r="F507" s="18" t="s">
        <v>141</v>
      </c>
      <c r="G507" s="19"/>
      <c r="H507" s="9">
        <f aca="true" t="shared" si="83" ref="H507:J509">H508</f>
        <v>6174.1</v>
      </c>
      <c r="I507" s="9">
        <f t="shared" si="83"/>
        <v>6174.1</v>
      </c>
      <c r="J507" s="9">
        <f t="shared" si="83"/>
        <v>0</v>
      </c>
      <c r="K507" s="9">
        <f t="shared" si="76"/>
        <v>0</v>
      </c>
    </row>
    <row r="508" spans="1:11" ht="12.75">
      <c r="A508" s="32" t="s">
        <v>229</v>
      </c>
      <c r="B508" s="19" t="s">
        <v>34</v>
      </c>
      <c r="C508" s="19" t="s">
        <v>3</v>
      </c>
      <c r="D508" s="19" t="s">
        <v>1</v>
      </c>
      <c r="E508" s="17">
        <v>78003</v>
      </c>
      <c r="F508" s="18" t="s">
        <v>206</v>
      </c>
      <c r="G508" s="19"/>
      <c r="H508" s="9">
        <f t="shared" si="83"/>
        <v>6174.1</v>
      </c>
      <c r="I508" s="9">
        <f t="shared" si="83"/>
        <v>6174.1</v>
      </c>
      <c r="J508" s="9">
        <f t="shared" si="83"/>
        <v>0</v>
      </c>
      <c r="K508" s="9">
        <f t="shared" si="76"/>
        <v>0</v>
      </c>
    </row>
    <row r="509" spans="1:11" ht="25.5">
      <c r="A509" s="11" t="s">
        <v>89</v>
      </c>
      <c r="B509" s="19" t="s">
        <v>34</v>
      </c>
      <c r="C509" s="19" t="s">
        <v>3</v>
      </c>
      <c r="D509" s="19" t="s">
        <v>1</v>
      </c>
      <c r="E509" s="17">
        <v>78003</v>
      </c>
      <c r="F509" s="18" t="s">
        <v>206</v>
      </c>
      <c r="G509" s="20" t="s">
        <v>74</v>
      </c>
      <c r="H509" s="9">
        <f t="shared" si="83"/>
        <v>6174.1</v>
      </c>
      <c r="I509" s="9">
        <f t="shared" si="83"/>
        <v>6174.1</v>
      </c>
      <c r="J509" s="9">
        <f t="shared" si="83"/>
        <v>0</v>
      </c>
      <c r="K509" s="9">
        <f t="shared" si="76"/>
        <v>0</v>
      </c>
    </row>
    <row r="510" spans="1:11" ht="12.75">
      <c r="A510" s="11" t="s">
        <v>92</v>
      </c>
      <c r="B510" s="19" t="s">
        <v>34</v>
      </c>
      <c r="C510" s="19" t="s">
        <v>3</v>
      </c>
      <c r="D510" s="19" t="s">
        <v>1</v>
      </c>
      <c r="E510" s="17">
        <v>78003</v>
      </c>
      <c r="F510" s="18" t="s">
        <v>206</v>
      </c>
      <c r="G510" s="20" t="s">
        <v>75</v>
      </c>
      <c r="H510" s="9">
        <f>6620.1-240.2-205.8</f>
        <v>6174.1</v>
      </c>
      <c r="I510" s="9">
        <f>6620.1-240.2-205.8</f>
        <v>6174.1</v>
      </c>
      <c r="J510" s="9">
        <f>I510-H510</f>
        <v>0</v>
      </c>
      <c r="K510" s="9">
        <f t="shared" si="76"/>
        <v>0</v>
      </c>
    </row>
    <row r="511" spans="1:11" ht="25.5">
      <c r="A511" s="32" t="s">
        <v>230</v>
      </c>
      <c r="B511" s="19" t="s">
        <v>34</v>
      </c>
      <c r="C511" s="19" t="s">
        <v>3</v>
      </c>
      <c r="D511" s="19" t="s">
        <v>1</v>
      </c>
      <c r="E511" s="17">
        <v>78004</v>
      </c>
      <c r="F511" s="18" t="s">
        <v>141</v>
      </c>
      <c r="G511" s="20"/>
      <c r="H511" s="9">
        <f>H512+H515</f>
        <v>2230.5</v>
      </c>
      <c r="I511" s="9">
        <f>I512+I515</f>
        <v>2230.5</v>
      </c>
      <c r="J511" s="9">
        <f>J512+J515</f>
        <v>0</v>
      </c>
      <c r="K511" s="9">
        <f t="shared" si="76"/>
        <v>0</v>
      </c>
    </row>
    <row r="512" spans="1:11" ht="12.75">
      <c r="A512" s="32" t="s">
        <v>231</v>
      </c>
      <c r="B512" s="19" t="s">
        <v>34</v>
      </c>
      <c r="C512" s="19" t="s">
        <v>3</v>
      </c>
      <c r="D512" s="19" t="s">
        <v>1</v>
      </c>
      <c r="E512" s="17">
        <v>78004</v>
      </c>
      <c r="F512" s="17">
        <v>99210</v>
      </c>
      <c r="G512" s="20"/>
      <c r="H512" s="9">
        <f aca="true" t="shared" si="84" ref="H512:J513">H513</f>
        <v>250</v>
      </c>
      <c r="I512" s="9">
        <f t="shared" si="84"/>
        <v>250</v>
      </c>
      <c r="J512" s="9">
        <f t="shared" si="84"/>
        <v>0</v>
      </c>
      <c r="K512" s="9">
        <f t="shared" si="76"/>
        <v>0</v>
      </c>
    </row>
    <row r="513" spans="1:11" ht="25.5">
      <c r="A513" s="11" t="s">
        <v>62</v>
      </c>
      <c r="B513" s="19" t="s">
        <v>34</v>
      </c>
      <c r="C513" s="19" t="s">
        <v>3</v>
      </c>
      <c r="D513" s="19" t="s">
        <v>1</v>
      </c>
      <c r="E513" s="17">
        <v>78004</v>
      </c>
      <c r="F513" s="17">
        <v>99210</v>
      </c>
      <c r="G513" s="20" t="s">
        <v>61</v>
      </c>
      <c r="H513" s="9">
        <f t="shared" si="84"/>
        <v>250</v>
      </c>
      <c r="I513" s="9">
        <f t="shared" si="84"/>
        <v>250</v>
      </c>
      <c r="J513" s="9">
        <f t="shared" si="84"/>
        <v>0</v>
      </c>
      <c r="K513" s="9">
        <f t="shared" si="76"/>
        <v>0</v>
      </c>
    </row>
    <row r="514" spans="1:11" ht="25.5">
      <c r="A514" s="11" t="s">
        <v>63</v>
      </c>
      <c r="B514" s="19" t="s">
        <v>34</v>
      </c>
      <c r="C514" s="19" t="s">
        <v>3</v>
      </c>
      <c r="D514" s="19" t="s">
        <v>1</v>
      </c>
      <c r="E514" s="17">
        <v>78004</v>
      </c>
      <c r="F514" s="17">
        <v>99210</v>
      </c>
      <c r="G514" s="20" t="s">
        <v>17</v>
      </c>
      <c r="H514" s="9">
        <f>200+50</f>
        <v>250</v>
      </c>
      <c r="I514" s="9">
        <f>200+50</f>
        <v>250</v>
      </c>
      <c r="J514" s="9">
        <f>I514-H514</f>
        <v>0</v>
      </c>
      <c r="K514" s="9">
        <f t="shared" si="76"/>
        <v>0</v>
      </c>
    </row>
    <row r="515" spans="1:11" ht="12.75">
      <c r="A515" s="32" t="s">
        <v>232</v>
      </c>
      <c r="B515" s="19" t="s">
        <v>34</v>
      </c>
      <c r="C515" s="19" t="s">
        <v>3</v>
      </c>
      <c r="D515" s="19" t="s">
        <v>1</v>
      </c>
      <c r="E515" s="17">
        <v>78004</v>
      </c>
      <c r="F515" s="17">
        <v>99220</v>
      </c>
      <c r="G515" s="20"/>
      <c r="H515" s="9">
        <f aca="true" t="shared" si="85" ref="H515:J516">H516</f>
        <v>1980.5000000000002</v>
      </c>
      <c r="I515" s="9">
        <f t="shared" si="85"/>
        <v>1980.5000000000002</v>
      </c>
      <c r="J515" s="9">
        <f t="shared" si="85"/>
        <v>0</v>
      </c>
      <c r="K515" s="9">
        <f t="shared" si="76"/>
        <v>0</v>
      </c>
    </row>
    <row r="516" spans="1:11" ht="25.5">
      <c r="A516" s="11" t="s">
        <v>73</v>
      </c>
      <c r="B516" s="19" t="s">
        <v>34</v>
      </c>
      <c r="C516" s="19" t="s">
        <v>3</v>
      </c>
      <c r="D516" s="19" t="s">
        <v>1</v>
      </c>
      <c r="E516" s="17">
        <v>78004</v>
      </c>
      <c r="F516" s="17">
        <v>99220</v>
      </c>
      <c r="G516" s="20" t="s">
        <v>74</v>
      </c>
      <c r="H516" s="9">
        <f t="shared" si="85"/>
        <v>1980.5000000000002</v>
      </c>
      <c r="I516" s="9">
        <f t="shared" si="85"/>
        <v>1980.5000000000002</v>
      </c>
      <c r="J516" s="9">
        <f t="shared" si="85"/>
        <v>0</v>
      </c>
      <c r="K516" s="9">
        <f t="shared" si="76"/>
        <v>0</v>
      </c>
    </row>
    <row r="517" spans="1:11" ht="12.75">
      <c r="A517" s="11" t="s">
        <v>92</v>
      </c>
      <c r="B517" s="19" t="s">
        <v>34</v>
      </c>
      <c r="C517" s="19" t="s">
        <v>3</v>
      </c>
      <c r="D517" s="19" t="s">
        <v>1</v>
      </c>
      <c r="E517" s="17">
        <v>78004</v>
      </c>
      <c r="F517" s="17">
        <v>99220</v>
      </c>
      <c r="G517" s="20" t="s">
        <v>75</v>
      </c>
      <c r="H517" s="9">
        <f>502.9+1354+246.4-122.8</f>
        <v>1980.5000000000002</v>
      </c>
      <c r="I517" s="9">
        <f>502.9+1354+246.4-122.8</f>
        <v>1980.5000000000002</v>
      </c>
      <c r="J517" s="9">
        <f>I517-H517</f>
        <v>0</v>
      </c>
      <c r="K517" s="9">
        <f t="shared" si="76"/>
        <v>0</v>
      </c>
    </row>
    <row r="518" spans="1:11" ht="38.25">
      <c r="A518" s="32" t="s">
        <v>295</v>
      </c>
      <c r="B518" s="19" t="s">
        <v>34</v>
      </c>
      <c r="C518" s="19" t="s">
        <v>3</v>
      </c>
      <c r="D518" s="19" t="s">
        <v>1</v>
      </c>
      <c r="E518" s="17">
        <v>78005</v>
      </c>
      <c r="F518" s="18" t="s">
        <v>141</v>
      </c>
      <c r="G518" s="20"/>
      <c r="H518" s="9">
        <f aca="true" t="shared" si="86" ref="H518:J520">H519</f>
        <v>599.6</v>
      </c>
      <c r="I518" s="9">
        <f t="shared" si="86"/>
        <v>0</v>
      </c>
      <c r="J518" s="9">
        <f t="shared" si="86"/>
        <v>-599.6</v>
      </c>
      <c r="K518" s="9">
        <f t="shared" si="76"/>
        <v>-100</v>
      </c>
    </row>
    <row r="519" spans="1:11" ht="12.75">
      <c r="A519" s="11" t="s">
        <v>131</v>
      </c>
      <c r="B519" s="19" t="s">
        <v>34</v>
      </c>
      <c r="C519" s="19" t="s">
        <v>3</v>
      </c>
      <c r="D519" s="19" t="s">
        <v>1</v>
      </c>
      <c r="E519" s="17">
        <v>78005</v>
      </c>
      <c r="F519" s="17">
        <v>69100</v>
      </c>
      <c r="G519" s="20"/>
      <c r="H519" s="9">
        <f t="shared" si="86"/>
        <v>599.6</v>
      </c>
      <c r="I519" s="9">
        <f t="shared" si="86"/>
        <v>0</v>
      </c>
      <c r="J519" s="9">
        <f t="shared" si="86"/>
        <v>-599.6</v>
      </c>
      <c r="K519" s="9">
        <f t="shared" si="76"/>
        <v>-100</v>
      </c>
    </row>
    <row r="520" spans="1:11" ht="25.5">
      <c r="A520" s="11" t="s">
        <v>73</v>
      </c>
      <c r="B520" s="19" t="s">
        <v>34</v>
      </c>
      <c r="C520" s="19" t="s">
        <v>3</v>
      </c>
      <c r="D520" s="19" t="s">
        <v>1</v>
      </c>
      <c r="E520" s="17">
        <v>78005</v>
      </c>
      <c r="F520" s="17">
        <v>69100</v>
      </c>
      <c r="G520" s="20" t="s">
        <v>74</v>
      </c>
      <c r="H520" s="9">
        <f t="shared" si="86"/>
        <v>599.6</v>
      </c>
      <c r="I520" s="9">
        <f t="shared" si="86"/>
        <v>0</v>
      </c>
      <c r="J520" s="9">
        <f t="shared" si="86"/>
        <v>-599.6</v>
      </c>
      <c r="K520" s="9">
        <f t="shared" si="76"/>
        <v>-100</v>
      </c>
    </row>
    <row r="521" spans="1:11" ht="12.75">
      <c r="A521" s="11" t="s">
        <v>92</v>
      </c>
      <c r="B521" s="19" t="s">
        <v>34</v>
      </c>
      <c r="C521" s="19" t="s">
        <v>3</v>
      </c>
      <c r="D521" s="19" t="s">
        <v>1</v>
      </c>
      <c r="E521" s="17">
        <v>78005</v>
      </c>
      <c r="F521" s="17">
        <v>69100</v>
      </c>
      <c r="G521" s="20" t="s">
        <v>75</v>
      </c>
      <c r="H521" s="9">
        <v>599.6</v>
      </c>
      <c r="I521" s="9">
        <v>0</v>
      </c>
      <c r="J521" s="9">
        <f>I521-H521</f>
        <v>-599.6</v>
      </c>
      <c r="K521" s="9">
        <f t="shared" si="76"/>
        <v>-100</v>
      </c>
    </row>
    <row r="522" spans="1:11" ht="25.5">
      <c r="A522" s="37" t="s">
        <v>289</v>
      </c>
      <c r="B522" s="19" t="s">
        <v>34</v>
      </c>
      <c r="C522" s="19" t="s">
        <v>3</v>
      </c>
      <c r="D522" s="19" t="s">
        <v>1</v>
      </c>
      <c r="E522" s="15">
        <v>78007</v>
      </c>
      <c r="F522" s="49" t="s">
        <v>141</v>
      </c>
      <c r="G522" s="19"/>
      <c r="H522" s="9">
        <f>H523+H526</f>
        <v>2231.9</v>
      </c>
      <c r="I522" s="9">
        <f>I523+I526</f>
        <v>2231.9</v>
      </c>
      <c r="J522" s="9">
        <f>J523+J526</f>
        <v>0</v>
      </c>
      <c r="K522" s="9">
        <f aca="true" t="shared" si="87" ref="K522:K549">I522/H522*100-100</f>
        <v>0</v>
      </c>
    </row>
    <row r="523" spans="1:11" ht="25.5">
      <c r="A523" s="11" t="s">
        <v>290</v>
      </c>
      <c r="B523" s="19" t="s">
        <v>34</v>
      </c>
      <c r="C523" s="19" t="s">
        <v>3</v>
      </c>
      <c r="D523" s="19" t="s">
        <v>1</v>
      </c>
      <c r="E523" s="15">
        <v>78007</v>
      </c>
      <c r="F523" s="30">
        <v>71800</v>
      </c>
      <c r="G523" s="19"/>
      <c r="H523" s="9">
        <f aca="true" t="shared" si="88" ref="H523:J524">H524</f>
        <v>2193.3</v>
      </c>
      <c r="I523" s="9">
        <f t="shared" si="88"/>
        <v>2193.3</v>
      </c>
      <c r="J523" s="9">
        <f t="shared" si="88"/>
        <v>0</v>
      </c>
      <c r="K523" s="9">
        <f t="shared" si="87"/>
        <v>0</v>
      </c>
    </row>
    <row r="524" spans="1:11" ht="25.5">
      <c r="A524" s="11" t="s">
        <v>89</v>
      </c>
      <c r="B524" s="19" t="s">
        <v>34</v>
      </c>
      <c r="C524" s="19" t="s">
        <v>3</v>
      </c>
      <c r="D524" s="19" t="s">
        <v>1</v>
      </c>
      <c r="E524" s="15">
        <v>78007</v>
      </c>
      <c r="F524" s="30">
        <v>71800</v>
      </c>
      <c r="G524" s="19" t="s">
        <v>74</v>
      </c>
      <c r="H524" s="9">
        <f t="shared" si="88"/>
        <v>2193.3</v>
      </c>
      <c r="I524" s="9">
        <f t="shared" si="88"/>
        <v>2193.3</v>
      </c>
      <c r="J524" s="9">
        <f t="shared" si="88"/>
        <v>0</v>
      </c>
      <c r="K524" s="9">
        <f t="shared" si="87"/>
        <v>0</v>
      </c>
    </row>
    <row r="525" spans="1:11" ht="15">
      <c r="A525" s="11" t="s">
        <v>92</v>
      </c>
      <c r="B525" s="19" t="s">
        <v>34</v>
      </c>
      <c r="C525" s="19" t="s">
        <v>3</v>
      </c>
      <c r="D525" s="19" t="s">
        <v>1</v>
      </c>
      <c r="E525" s="15">
        <v>78007</v>
      </c>
      <c r="F525" s="30">
        <v>71800</v>
      </c>
      <c r="G525" s="19" t="s">
        <v>75</v>
      </c>
      <c r="H525" s="9">
        <f>2000+193.3</f>
        <v>2193.3</v>
      </c>
      <c r="I525" s="9">
        <f>2000+193.3</f>
        <v>2193.3</v>
      </c>
      <c r="J525" s="9">
        <f>I525-H525</f>
        <v>0</v>
      </c>
      <c r="K525" s="9">
        <f t="shared" si="87"/>
        <v>0</v>
      </c>
    </row>
    <row r="526" spans="1:11" ht="25.5">
      <c r="A526" s="11" t="s">
        <v>291</v>
      </c>
      <c r="B526" s="19" t="s">
        <v>34</v>
      </c>
      <c r="C526" s="19" t="s">
        <v>3</v>
      </c>
      <c r="D526" s="19" t="s">
        <v>1</v>
      </c>
      <c r="E526" s="15">
        <v>78007</v>
      </c>
      <c r="F526" s="30" t="s">
        <v>292</v>
      </c>
      <c r="G526" s="19"/>
      <c r="H526" s="9">
        <f aca="true" t="shared" si="89" ref="H526:J527">H527</f>
        <v>38.6</v>
      </c>
      <c r="I526" s="9">
        <f t="shared" si="89"/>
        <v>38.6</v>
      </c>
      <c r="J526" s="9">
        <f t="shared" si="89"/>
        <v>0</v>
      </c>
      <c r="K526" s="9">
        <f t="shared" si="87"/>
        <v>0</v>
      </c>
    </row>
    <row r="527" spans="1:11" ht="25.5">
      <c r="A527" s="11" t="s">
        <v>89</v>
      </c>
      <c r="B527" s="19" t="s">
        <v>34</v>
      </c>
      <c r="C527" s="19" t="s">
        <v>3</v>
      </c>
      <c r="D527" s="19" t="s">
        <v>1</v>
      </c>
      <c r="E527" s="15">
        <v>78007</v>
      </c>
      <c r="F527" s="30" t="s">
        <v>292</v>
      </c>
      <c r="G527" s="19" t="s">
        <v>74</v>
      </c>
      <c r="H527" s="9">
        <f t="shared" si="89"/>
        <v>38.6</v>
      </c>
      <c r="I527" s="9">
        <f t="shared" si="89"/>
        <v>38.6</v>
      </c>
      <c r="J527" s="9">
        <f t="shared" si="89"/>
        <v>0</v>
      </c>
      <c r="K527" s="9">
        <f t="shared" si="87"/>
        <v>0</v>
      </c>
    </row>
    <row r="528" spans="1:11" ht="15">
      <c r="A528" s="11" t="s">
        <v>92</v>
      </c>
      <c r="B528" s="19" t="s">
        <v>34</v>
      </c>
      <c r="C528" s="19" t="s">
        <v>3</v>
      </c>
      <c r="D528" s="19" t="s">
        <v>1</v>
      </c>
      <c r="E528" s="15">
        <v>78007</v>
      </c>
      <c r="F528" s="30" t="s">
        <v>292</v>
      </c>
      <c r="G528" s="19" t="s">
        <v>75</v>
      </c>
      <c r="H528" s="9">
        <f>2+36.6</f>
        <v>38.6</v>
      </c>
      <c r="I528" s="9">
        <f>2+36.6</f>
        <v>38.6</v>
      </c>
      <c r="J528" s="9">
        <f>I528-H528</f>
        <v>0</v>
      </c>
      <c r="K528" s="9">
        <f t="shared" si="87"/>
        <v>0</v>
      </c>
    </row>
    <row r="529" spans="1:11" ht="12.75">
      <c r="A529" s="11" t="s">
        <v>24</v>
      </c>
      <c r="B529" s="19" t="s">
        <v>34</v>
      </c>
      <c r="C529" s="19" t="s">
        <v>12</v>
      </c>
      <c r="D529" s="19"/>
      <c r="E529" s="20"/>
      <c r="F529" s="20"/>
      <c r="G529" s="20"/>
      <c r="H529" s="9">
        <f aca="true" t="shared" si="90" ref="H529:J535">H530</f>
        <v>1177.8</v>
      </c>
      <c r="I529" s="9">
        <f t="shared" si="90"/>
        <v>1177.8</v>
      </c>
      <c r="J529" s="9">
        <f t="shared" si="90"/>
        <v>0</v>
      </c>
      <c r="K529" s="9">
        <f t="shared" si="87"/>
        <v>0</v>
      </c>
    </row>
    <row r="530" spans="1:11" ht="12.75">
      <c r="A530" s="11" t="s">
        <v>97</v>
      </c>
      <c r="B530" s="19" t="s">
        <v>34</v>
      </c>
      <c r="C530" s="19" t="s">
        <v>12</v>
      </c>
      <c r="D530" s="19" t="s">
        <v>8</v>
      </c>
      <c r="E530" s="20"/>
      <c r="F530" s="20"/>
      <c r="G530" s="20"/>
      <c r="H530" s="9">
        <f t="shared" si="90"/>
        <v>1177.8</v>
      </c>
      <c r="I530" s="9">
        <f t="shared" si="90"/>
        <v>1177.8</v>
      </c>
      <c r="J530" s="9">
        <f t="shared" si="90"/>
        <v>0</v>
      </c>
      <c r="K530" s="9">
        <f t="shared" si="87"/>
        <v>0</v>
      </c>
    </row>
    <row r="531" spans="1:11" ht="15">
      <c r="A531" s="11" t="s">
        <v>103</v>
      </c>
      <c r="B531" s="19" t="s">
        <v>34</v>
      </c>
      <c r="C531" s="19" t="s">
        <v>12</v>
      </c>
      <c r="D531" s="19" t="s">
        <v>8</v>
      </c>
      <c r="E531" s="30">
        <v>77000</v>
      </c>
      <c r="F531" s="18" t="s">
        <v>141</v>
      </c>
      <c r="G531" s="19"/>
      <c r="H531" s="9">
        <f t="shared" si="90"/>
        <v>1177.8</v>
      </c>
      <c r="I531" s="9">
        <f t="shared" si="90"/>
        <v>1177.8</v>
      </c>
      <c r="J531" s="9">
        <f t="shared" si="90"/>
        <v>0</v>
      </c>
      <c r="K531" s="9">
        <f t="shared" si="87"/>
        <v>0</v>
      </c>
    </row>
    <row r="532" spans="1:11" ht="25.5">
      <c r="A532" s="11" t="s">
        <v>110</v>
      </c>
      <c r="B532" s="19" t="s">
        <v>34</v>
      </c>
      <c r="C532" s="19" t="s">
        <v>12</v>
      </c>
      <c r="D532" s="19" t="s">
        <v>8</v>
      </c>
      <c r="E532" s="30">
        <v>77100</v>
      </c>
      <c r="F532" s="18" t="s">
        <v>141</v>
      </c>
      <c r="G532" s="19"/>
      <c r="H532" s="9">
        <f t="shared" si="90"/>
        <v>1177.8</v>
      </c>
      <c r="I532" s="9">
        <f t="shared" si="90"/>
        <v>1177.8</v>
      </c>
      <c r="J532" s="9">
        <f t="shared" si="90"/>
        <v>0</v>
      </c>
      <c r="K532" s="9">
        <f t="shared" si="87"/>
        <v>0</v>
      </c>
    </row>
    <row r="533" spans="1:11" ht="51">
      <c r="A533" s="11" t="s">
        <v>233</v>
      </c>
      <c r="B533" s="19" t="s">
        <v>34</v>
      </c>
      <c r="C533" s="19" t="s">
        <v>12</v>
      </c>
      <c r="D533" s="19" t="s">
        <v>8</v>
      </c>
      <c r="E533" s="30">
        <v>77107</v>
      </c>
      <c r="F533" s="18" t="s">
        <v>141</v>
      </c>
      <c r="G533" s="19"/>
      <c r="H533" s="9">
        <f t="shared" si="90"/>
        <v>1177.8</v>
      </c>
      <c r="I533" s="9">
        <f t="shared" si="90"/>
        <v>1177.8</v>
      </c>
      <c r="J533" s="9">
        <f t="shared" si="90"/>
        <v>0</v>
      </c>
      <c r="K533" s="9">
        <f t="shared" si="87"/>
        <v>0</v>
      </c>
    </row>
    <row r="534" spans="1:11" ht="38.25">
      <c r="A534" s="11" t="s">
        <v>234</v>
      </c>
      <c r="B534" s="19" t="s">
        <v>34</v>
      </c>
      <c r="C534" s="19" t="s">
        <v>12</v>
      </c>
      <c r="D534" s="19" t="s">
        <v>8</v>
      </c>
      <c r="E534" s="30">
        <v>77107</v>
      </c>
      <c r="F534" s="29">
        <v>77900</v>
      </c>
      <c r="G534" s="19"/>
      <c r="H534" s="9">
        <f t="shared" si="90"/>
        <v>1177.8</v>
      </c>
      <c r="I534" s="9">
        <f t="shared" si="90"/>
        <v>1177.8</v>
      </c>
      <c r="J534" s="9">
        <f t="shared" si="90"/>
        <v>0</v>
      </c>
      <c r="K534" s="9">
        <f t="shared" si="87"/>
        <v>0</v>
      </c>
    </row>
    <row r="535" spans="1:11" ht="15">
      <c r="A535" s="11" t="s">
        <v>90</v>
      </c>
      <c r="B535" s="19" t="s">
        <v>34</v>
      </c>
      <c r="C535" s="19" t="s">
        <v>12</v>
      </c>
      <c r="D535" s="19" t="s">
        <v>8</v>
      </c>
      <c r="E535" s="30">
        <v>77107</v>
      </c>
      <c r="F535" s="29">
        <v>77900</v>
      </c>
      <c r="G535" s="19" t="s">
        <v>68</v>
      </c>
      <c r="H535" s="9">
        <f t="shared" si="90"/>
        <v>1177.8</v>
      </c>
      <c r="I535" s="9">
        <f t="shared" si="90"/>
        <v>1177.8</v>
      </c>
      <c r="J535" s="9">
        <f t="shared" si="90"/>
        <v>0</v>
      </c>
      <c r="K535" s="9">
        <f t="shared" si="87"/>
        <v>0</v>
      </c>
    </row>
    <row r="536" spans="1:11" ht="15">
      <c r="A536" s="11" t="s">
        <v>124</v>
      </c>
      <c r="B536" s="19" t="s">
        <v>34</v>
      </c>
      <c r="C536" s="19" t="s">
        <v>12</v>
      </c>
      <c r="D536" s="19" t="s">
        <v>8</v>
      </c>
      <c r="E536" s="30">
        <v>77107</v>
      </c>
      <c r="F536" s="29">
        <v>77900</v>
      </c>
      <c r="G536" s="19" t="s">
        <v>69</v>
      </c>
      <c r="H536" s="9">
        <v>1177.8</v>
      </c>
      <c r="I536" s="9">
        <v>1177.8</v>
      </c>
      <c r="J536" s="9">
        <f>I536-H536</f>
        <v>0</v>
      </c>
      <c r="K536" s="9">
        <f t="shared" si="87"/>
        <v>0</v>
      </c>
    </row>
    <row r="537" spans="1:11" ht="12.75">
      <c r="A537" s="11" t="s">
        <v>38</v>
      </c>
      <c r="B537" s="19" t="s">
        <v>34</v>
      </c>
      <c r="C537" s="19" t="s">
        <v>47</v>
      </c>
      <c r="D537" s="19"/>
      <c r="E537" s="20"/>
      <c r="F537" s="20"/>
      <c r="G537" s="20"/>
      <c r="H537" s="9">
        <f aca="true" t="shared" si="91" ref="H537:J538">H538</f>
        <v>159.5</v>
      </c>
      <c r="I537" s="9">
        <f t="shared" si="91"/>
        <v>153.5</v>
      </c>
      <c r="J537" s="9">
        <f t="shared" si="91"/>
        <v>-6</v>
      </c>
      <c r="K537" s="9">
        <f t="shared" si="87"/>
        <v>-3.761755485893417</v>
      </c>
    </row>
    <row r="538" spans="1:11" ht="12.75">
      <c r="A538" s="11" t="s">
        <v>48</v>
      </c>
      <c r="B538" s="19" t="s">
        <v>34</v>
      </c>
      <c r="C538" s="19" t="s">
        <v>47</v>
      </c>
      <c r="D538" s="19" t="s">
        <v>6</v>
      </c>
      <c r="E538" s="20"/>
      <c r="F538" s="20"/>
      <c r="G538" s="20"/>
      <c r="H538" s="9">
        <f t="shared" si="91"/>
        <v>159.5</v>
      </c>
      <c r="I538" s="9">
        <f t="shared" si="91"/>
        <v>153.5</v>
      </c>
      <c r="J538" s="9">
        <f t="shared" si="91"/>
        <v>-6</v>
      </c>
      <c r="K538" s="9">
        <f t="shared" si="87"/>
        <v>-3.761755485893417</v>
      </c>
    </row>
    <row r="539" spans="1:11" ht="25.5">
      <c r="A539" s="11" t="s">
        <v>105</v>
      </c>
      <c r="B539" s="19" t="s">
        <v>34</v>
      </c>
      <c r="C539" s="19" t="s">
        <v>47</v>
      </c>
      <c r="D539" s="19" t="s">
        <v>6</v>
      </c>
      <c r="E539" s="17">
        <v>79000</v>
      </c>
      <c r="F539" s="18" t="s">
        <v>141</v>
      </c>
      <c r="G539" s="20"/>
      <c r="H539" s="9">
        <f>H540+H546</f>
        <v>159.5</v>
      </c>
      <c r="I539" s="9">
        <f>I540+I546</f>
        <v>153.5</v>
      </c>
      <c r="J539" s="9">
        <f>J540+J546</f>
        <v>-6</v>
      </c>
      <c r="K539" s="9">
        <f t="shared" si="87"/>
        <v>-3.761755485893417</v>
      </c>
    </row>
    <row r="540" spans="1:11" ht="25.5">
      <c r="A540" s="11" t="s">
        <v>296</v>
      </c>
      <c r="B540" s="19" t="s">
        <v>34</v>
      </c>
      <c r="C540" s="19" t="s">
        <v>47</v>
      </c>
      <c r="D540" s="19" t="s">
        <v>6</v>
      </c>
      <c r="E540" s="17">
        <v>79010</v>
      </c>
      <c r="F540" s="18" t="s">
        <v>141</v>
      </c>
      <c r="G540" s="20"/>
      <c r="H540" s="9">
        <f>H541</f>
        <v>118.5</v>
      </c>
      <c r="I540" s="9">
        <f>I541</f>
        <v>118.5</v>
      </c>
      <c r="J540" s="9">
        <f>J541</f>
        <v>0</v>
      </c>
      <c r="K540" s="9">
        <f t="shared" si="87"/>
        <v>0</v>
      </c>
    </row>
    <row r="541" spans="1:11" ht="12.75">
      <c r="A541" s="11" t="s">
        <v>297</v>
      </c>
      <c r="B541" s="19" t="s">
        <v>34</v>
      </c>
      <c r="C541" s="19" t="s">
        <v>47</v>
      </c>
      <c r="D541" s="19" t="s">
        <v>6</v>
      </c>
      <c r="E541" s="17">
        <v>79010</v>
      </c>
      <c r="F541" s="17">
        <v>99310</v>
      </c>
      <c r="G541" s="20"/>
      <c r="H541" s="9">
        <f>H542+H544</f>
        <v>118.5</v>
      </c>
      <c r="I541" s="9">
        <f>I542+I544</f>
        <v>118.5</v>
      </c>
      <c r="J541" s="9">
        <f>J542+J544</f>
        <v>0</v>
      </c>
      <c r="K541" s="9">
        <f t="shared" si="87"/>
        <v>0</v>
      </c>
    </row>
    <row r="542" spans="1:11" ht="25.5">
      <c r="A542" s="11" t="s">
        <v>73</v>
      </c>
      <c r="B542" s="19" t="s">
        <v>34</v>
      </c>
      <c r="C542" s="19" t="s">
        <v>47</v>
      </c>
      <c r="D542" s="19" t="s">
        <v>6</v>
      </c>
      <c r="E542" s="17">
        <v>79010</v>
      </c>
      <c r="F542" s="17">
        <v>99310</v>
      </c>
      <c r="G542" s="20" t="s">
        <v>74</v>
      </c>
      <c r="H542" s="9">
        <f>H543</f>
        <v>100</v>
      </c>
      <c r="I542" s="9">
        <f>I543</f>
        <v>100</v>
      </c>
      <c r="J542" s="9">
        <f>J543</f>
        <v>0</v>
      </c>
      <c r="K542" s="9">
        <f t="shared" si="87"/>
        <v>0</v>
      </c>
    </row>
    <row r="543" spans="1:11" ht="12.75">
      <c r="A543" s="11" t="s">
        <v>92</v>
      </c>
      <c r="B543" s="19" t="s">
        <v>34</v>
      </c>
      <c r="C543" s="19" t="s">
        <v>47</v>
      </c>
      <c r="D543" s="19" t="s">
        <v>6</v>
      </c>
      <c r="E543" s="17">
        <v>79010</v>
      </c>
      <c r="F543" s="17">
        <v>99310</v>
      </c>
      <c r="G543" s="20" t="s">
        <v>75</v>
      </c>
      <c r="H543" s="9">
        <f>100</f>
        <v>100</v>
      </c>
      <c r="I543" s="9">
        <f>100</f>
        <v>100</v>
      </c>
      <c r="J543" s="9">
        <f>I543-H543</f>
        <v>0</v>
      </c>
      <c r="K543" s="9">
        <f t="shared" si="87"/>
        <v>0</v>
      </c>
    </row>
    <row r="544" spans="1:11" ht="25.5">
      <c r="A544" s="11" t="s">
        <v>62</v>
      </c>
      <c r="B544" s="19" t="s">
        <v>34</v>
      </c>
      <c r="C544" s="19" t="s">
        <v>47</v>
      </c>
      <c r="D544" s="19" t="s">
        <v>6</v>
      </c>
      <c r="E544" s="17">
        <v>79010</v>
      </c>
      <c r="F544" s="17">
        <v>99310</v>
      </c>
      <c r="G544" s="20" t="s">
        <v>61</v>
      </c>
      <c r="H544" s="9">
        <f>H545</f>
        <v>18.5</v>
      </c>
      <c r="I544" s="9">
        <f>I545</f>
        <v>18.5</v>
      </c>
      <c r="J544" s="9">
        <f>J545</f>
        <v>0</v>
      </c>
      <c r="K544" s="9">
        <f t="shared" si="87"/>
        <v>0</v>
      </c>
    </row>
    <row r="545" spans="1:11" ht="25.5">
      <c r="A545" s="11" t="s">
        <v>63</v>
      </c>
      <c r="B545" s="19" t="s">
        <v>34</v>
      </c>
      <c r="C545" s="19" t="s">
        <v>47</v>
      </c>
      <c r="D545" s="19" t="s">
        <v>6</v>
      </c>
      <c r="E545" s="17">
        <v>79010</v>
      </c>
      <c r="F545" s="17">
        <v>99310</v>
      </c>
      <c r="G545" s="20" t="s">
        <v>17</v>
      </c>
      <c r="H545" s="9">
        <v>18.5</v>
      </c>
      <c r="I545" s="9">
        <v>18.5</v>
      </c>
      <c r="J545" s="9">
        <f>I545-H545</f>
        <v>0</v>
      </c>
      <c r="K545" s="9">
        <f t="shared" si="87"/>
        <v>0</v>
      </c>
    </row>
    <row r="546" spans="1:11" ht="12.75">
      <c r="A546" s="11" t="s">
        <v>298</v>
      </c>
      <c r="B546" s="19" t="s">
        <v>34</v>
      </c>
      <c r="C546" s="19" t="s">
        <v>47</v>
      </c>
      <c r="D546" s="19" t="s">
        <v>6</v>
      </c>
      <c r="E546" s="17">
        <v>79012</v>
      </c>
      <c r="F546" s="18" t="s">
        <v>141</v>
      </c>
      <c r="G546" s="20"/>
      <c r="H546" s="9">
        <f aca="true" t="shared" si="92" ref="H546:J548">H547</f>
        <v>41</v>
      </c>
      <c r="I546" s="9">
        <f t="shared" si="92"/>
        <v>35</v>
      </c>
      <c r="J546" s="9">
        <f t="shared" si="92"/>
        <v>-6</v>
      </c>
      <c r="K546" s="9">
        <f t="shared" si="87"/>
        <v>-14.63414634146342</v>
      </c>
    </row>
    <row r="547" spans="1:11" ht="12.75">
      <c r="A547" s="11" t="s">
        <v>299</v>
      </c>
      <c r="B547" s="19" t="s">
        <v>34</v>
      </c>
      <c r="C547" s="19" t="s">
        <v>47</v>
      </c>
      <c r="D547" s="19" t="s">
        <v>6</v>
      </c>
      <c r="E547" s="17">
        <v>79012</v>
      </c>
      <c r="F547" s="17">
        <v>99310</v>
      </c>
      <c r="G547" s="20"/>
      <c r="H547" s="9">
        <f t="shared" si="92"/>
        <v>41</v>
      </c>
      <c r="I547" s="9">
        <f t="shared" si="92"/>
        <v>35</v>
      </c>
      <c r="J547" s="9">
        <f t="shared" si="92"/>
        <v>-6</v>
      </c>
      <c r="K547" s="9">
        <f t="shared" si="87"/>
        <v>-14.63414634146342</v>
      </c>
    </row>
    <row r="548" spans="1:11" ht="24">
      <c r="A548" s="11" t="s">
        <v>62</v>
      </c>
      <c r="B548" s="19" t="s">
        <v>34</v>
      </c>
      <c r="C548" s="19" t="s">
        <v>47</v>
      </c>
      <c r="D548" s="19" t="s">
        <v>6</v>
      </c>
      <c r="E548" s="17">
        <v>79012</v>
      </c>
      <c r="F548" s="17">
        <v>99310</v>
      </c>
      <c r="G548" s="20" t="s">
        <v>61</v>
      </c>
      <c r="H548" s="9">
        <f t="shared" si="92"/>
        <v>41</v>
      </c>
      <c r="I548" s="9">
        <f t="shared" si="92"/>
        <v>35</v>
      </c>
      <c r="J548" s="9">
        <f t="shared" si="92"/>
        <v>-6</v>
      </c>
      <c r="K548" s="9">
        <f t="shared" si="87"/>
        <v>-14.63414634146342</v>
      </c>
    </row>
    <row r="549" spans="1:11" ht="24">
      <c r="A549" s="11" t="s">
        <v>63</v>
      </c>
      <c r="B549" s="19" t="s">
        <v>34</v>
      </c>
      <c r="C549" s="19" t="s">
        <v>47</v>
      </c>
      <c r="D549" s="19" t="s">
        <v>6</v>
      </c>
      <c r="E549" s="17">
        <v>79012</v>
      </c>
      <c r="F549" s="17">
        <v>99310</v>
      </c>
      <c r="G549" s="20" t="s">
        <v>17</v>
      </c>
      <c r="H549" s="9">
        <v>41</v>
      </c>
      <c r="I549" s="9">
        <v>35</v>
      </c>
      <c r="J549" s="9">
        <f>I549-H549</f>
        <v>-6</v>
      </c>
      <c r="K549" s="9">
        <f t="shared" si="87"/>
        <v>-14.63414634146342</v>
      </c>
    </row>
    <row r="550" spans="1:11" ht="12.75">
      <c r="A550" s="22" t="s">
        <v>29</v>
      </c>
      <c r="B550" s="19"/>
      <c r="C550" s="20"/>
      <c r="D550" s="20"/>
      <c r="E550" s="20"/>
      <c r="F550" s="20"/>
      <c r="G550" s="20"/>
      <c r="H550" s="43">
        <f>H9+H19+H310+H340</f>
        <v>176269.9</v>
      </c>
      <c r="I550" s="43">
        <f>I9+I19+I310+I340</f>
        <v>161067</v>
      </c>
      <c r="J550" s="43">
        <f>J9+J19+J310+J340</f>
        <v>-15202.900000000005</v>
      </c>
      <c r="K550" s="9">
        <f>I550/H550*100-100</f>
        <v>-8.624785059729419</v>
      </c>
    </row>
    <row r="554" spans="1:9" s="51" customFormat="1" ht="15">
      <c r="A554" s="1" t="s">
        <v>301</v>
      </c>
      <c r="B554" s="2"/>
      <c r="C554" s="118"/>
      <c r="D554" s="118"/>
      <c r="E554" s="118"/>
      <c r="F554" s="118"/>
      <c r="G554" s="1"/>
      <c r="H554" s="117" t="s">
        <v>302</v>
      </c>
      <c r="I554" s="117"/>
    </row>
    <row r="555" spans="3:9" ht="15">
      <c r="C555" s="115" t="s">
        <v>303</v>
      </c>
      <c r="D555" s="115"/>
      <c r="E555" s="115"/>
      <c r="F555" s="115"/>
      <c r="H555" s="116" t="s">
        <v>304</v>
      </c>
      <c r="I555" s="116"/>
    </row>
  </sheetData>
  <sheetProtection/>
  <autoFilter ref="A8:K550"/>
  <mergeCells count="21">
    <mergeCell ref="I7:I8"/>
    <mergeCell ref="K7:K8"/>
    <mergeCell ref="H7:H8"/>
    <mergeCell ref="D6:D8"/>
    <mergeCell ref="C555:F555"/>
    <mergeCell ref="H555:I555"/>
    <mergeCell ref="G6:G8"/>
    <mergeCell ref="E7:E8"/>
    <mergeCell ref="F7:F8"/>
    <mergeCell ref="H554:I554"/>
    <mergeCell ref="C554:F554"/>
    <mergeCell ref="I1:K1"/>
    <mergeCell ref="H2:K2"/>
    <mergeCell ref="A3:K3"/>
    <mergeCell ref="H5:K5"/>
    <mergeCell ref="B6:B8"/>
    <mergeCell ref="C6:C8"/>
    <mergeCell ref="A6:A8"/>
    <mergeCell ref="E6:F6"/>
    <mergeCell ref="J6:K6"/>
    <mergeCell ref="J7:J8"/>
  </mergeCells>
  <printOptions/>
  <pageMargins left="0.56" right="0.27" top="0.35433070866141736" bottom="0.35433070866141736" header="0.2362204724409449" footer="0.31496062992125984"/>
  <pageSetup fitToHeight="12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6"/>
  <sheetViews>
    <sheetView tabSelected="1" zoomScale="85" zoomScaleNormal="85" zoomScalePageLayoutView="0" workbookViewId="0" topLeftCell="A1">
      <selection activeCell="G3" sqref="G3:K3"/>
    </sheetView>
  </sheetViews>
  <sheetFormatPr defaultColWidth="9.00390625" defaultRowHeight="12.75"/>
  <cols>
    <col min="1" max="1" width="66.25390625" style="55" customWidth="1"/>
    <col min="2" max="2" width="5.875" style="56" customWidth="1"/>
    <col min="3" max="3" width="4.875" style="55" customWidth="1"/>
    <col min="4" max="4" width="4.375" style="55" customWidth="1"/>
    <col min="5" max="6" width="9.625" style="55" customWidth="1"/>
    <col min="7" max="7" width="5.25390625" style="55" customWidth="1"/>
    <col min="8" max="8" width="10.625" style="57" customWidth="1"/>
    <col min="9" max="9" width="11.125" style="57" customWidth="1"/>
    <col min="10" max="10" width="10.25390625" style="57" customWidth="1"/>
    <col min="11" max="11" width="12.625" style="57" customWidth="1"/>
    <col min="12" max="16384" width="9.125" style="57" customWidth="1"/>
  </cols>
  <sheetData>
    <row r="1" spans="1:11" s="60" customFormat="1" ht="15.75">
      <c r="A1" s="58"/>
      <c r="B1" s="59"/>
      <c r="C1" s="59"/>
      <c r="D1" s="59"/>
      <c r="E1" s="59"/>
      <c r="F1" s="59"/>
      <c r="G1" s="123" t="s">
        <v>409</v>
      </c>
      <c r="H1" s="123"/>
      <c r="I1" s="123"/>
      <c r="J1" s="123"/>
      <c r="K1" s="123"/>
    </row>
    <row r="2" spans="1:11" s="60" customFormat="1" ht="31.5" customHeight="1">
      <c r="A2" s="61"/>
      <c r="B2" s="61"/>
      <c r="C2" s="61"/>
      <c r="D2" s="61"/>
      <c r="E2" s="61"/>
      <c r="F2" s="61"/>
      <c r="G2" s="123" t="s">
        <v>410</v>
      </c>
      <c r="H2" s="123"/>
      <c r="I2" s="123"/>
      <c r="J2" s="123"/>
      <c r="K2" s="123"/>
    </row>
    <row r="3" spans="1:11" s="60" customFormat="1" ht="15.75">
      <c r="A3" s="61"/>
      <c r="B3" s="61"/>
      <c r="C3" s="61"/>
      <c r="D3" s="61"/>
      <c r="E3" s="61"/>
      <c r="F3" s="61"/>
      <c r="G3" s="123" t="s">
        <v>411</v>
      </c>
      <c r="H3" s="123"/>
      <c r="I3" s="123"/>
      <c r="J3" s="123"/>
      <c r="K3" s="123"/>
    </row>
    <row r="4" spans="1:11" s="60" customFormat="1" ht="15.75">
      <c r="A4" s="119"/>
      <c r="B4" s="119"/>
      <c r="C4" s="119"/>
      <c r="D4" s="119"/>
      <c r="E4" s="119"/>
      <c r="F4" s="119"/>
      <c r="G4" s="119"/>
      <c r="H4" s="119"/>
      <c r="I4" s="62"/>
      <c r="J4" s="62"/>
      <c r="K4" s="62"/>
    </row>
    <row r="5" spans="1:11" ht="15.75">
      <c r="A5" s="120" t="s">
        <v>403</v>
      </c>
      <c r="B5" s="120"/>
      <c r="C5" s="120"/>
      <c r="D5" s="120"/>
      <c r="E5" s="120"/>
      <c r="F5" s="120"/>
      <c r="G5" s="120"/>
      <c r="H5" s="120"/>
      <c r="I5" s="120"/>
      <c r="J5" s="120"/>
      <c r="K5" s="102"/>
    </row>
    <row r="6" spans="1:11" ht="15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02"/>
    </row>
    <row r="7" spans="1:11" ht="15.75">
      <c r="A7" s="69"/>
      <c r="B7" s="70"/>
      <c r="C7" s="69"/>
      <c r="D7" s="69"/>
      <c r="E7" s="69"/>
      <c r="F7" s="69"/>
      <c r="G7" s="121"/>
      <c r="H7" s="121"/>
      <c r="I7" s="122" t="s">
        <v>402</v>
      </c>
      <c r="J7" s="122"/>
      <c r="K7" s="71"/>
    </row>
    <row r="8" spans="1:11" ht="12.75">
      <c r="A8" s="109" t="s">
        <v>0</v>
      </c>
      <c r="B8" s="109" t="s">
        <v>28</v>
      </c>
      <c r="C8" s="109" t="s">
        <v>9</v>
      </c>
      <c r="D8" s="109" t="s">
        <v>10</v>
      </c>
      <c r="E8" s="110" t="s">
        <v>235</v>
      </c>
      <c r="F8" s="111"/>
      <c r="G8" s="109" t="s">
        <v>11</v>
      </c>
      <c r="H8" s="114">
        <v>2018</v>
      </c>
      <c r="I8" s="114"/>
      <c r="J8" s="125" t="s">
        <v>137</v>
      </c>
      <c r="K8" s="126"/>
    </row>
    <row r="9" spans="1:11" s="52" customFormat="1" ht="38.25">
      <c r="A9" s="109"/>
      <c r="B9" s="109"/>
      <c r="C9" s="109"/>
      <c r="D9" s="109"/>
      <c r="E9" s="72" t="s">
        <v>405</v>
      </c>
      <c r="F9" s="72" t="s">
        <v>237</v>
      </c>
      <c r="G9" s="109"/>
      <c r="H9" s="73" t="s">
        <v>135</v>
      </c>
      <c r="I9" s="73" t="s">
        <v>136</v>
      </c>
      <c r="J9" s="50" t="s">
        <v>138</v>
      </c>
      <c r="K9" s="103" t="s">
        <v>404</v>
      </c>
    </row>
    <row r="10" spans="1:11" s="63" customFormat="1" ht="25.5">
      <c r="A10" s="74" t="s">
        <v>53</v>
      </c>
      <c r="B10" s="75" t="s">
        <v>32</v>
      </c>
      <c r="C10" s="75"/>
      <c r="D10" s="75"/>
      <c r="E10" s="75"/>
      <c r="F10" s="75"/>
      <c r="G10" s="75"/>
      <c r="H10" s="76">
        <f aca="true" t="shared" si="0" ref="H10:J14">H11</f>
        <v>682.4</v>
      </c>
      <c r="I10" s="76">
        <f t="shared" si="0"/>
        <v>126.5</v>
      </c>
      <c r="J10" s="76">
        <f t="shared" si="0"/>
        <v>-555.9</v>
      </c>
      <c r="K10" s="76">
        <f>I10/H10*100-100</f>
        <v>-81.46248534583822</v>
      </c>
    </row>
    <row r="11" spans="1:11" s="63" customFormat="1" ht="12.75">
      <c r="A11" s="77" t="s">
        <v>13</v>
      </c>
      <c r="B11" s="78" t="s">
        <v>32</v>
      </c>
      <c r="C11" s="78" t="s">
        <v>1</v>
      </c>
      <c r="D11" s="78"/>
      <c r="E11" s="78"/>
      <c r="F11" s="78"/>
      <c r="G11" s="78"/>
      <c r="H11" s="79">
        <f t="shared" si="0"/>
        <v>682.4</v>
      </c>
      <c r="I11" s="79">
        <f t="shared" si="0"/>
        <v>126.5</v>
      </c>
      <c r="J11" s="79">
        <f t="shared" si="0"/>
        <v>-555.9</v>
      </c>
      <c r="K11" s="79">
        <f aca="true" t="shared" si="1" ref="K11:K74">I11/H11*100-100</f>
        <v>-81.46248534583822</v>
      </c>
    </row>
    <row r="12" spans="1:11" s="63" customFormat="1" ht="25.5">
      <c r="A12" s="77" t="s">
        <v>37</v>
      </c>
      <c r="B12" s="78" t="s">
        <v>32</v>
      </c>
      <c r="C12" s="78" t="s">
        <v>1</v>
      </c>
      <c r="D12" s="78" t="s">
        <v>5</v>
      </c>
      <c r="E12" s="78"/>
      <c r="F12" s="78"/>
      <c r="G12" s="78"/>
      <c r="H12" s="79">
        <f t="shared" si="0"/>
        <v>682.4</v>
      </c>
      <c r="I12" s="79">
        <f t="shared" si="0"/>
        <v>126.5</v>
      </c>
      <c r="J12" s="79">
        <f t="shared" si="0"/>
        <v>-555.9</v>
      </c>
      <c r="K12" s="79">
        <f t="shared" si="1"/>
        <v>-81.46248534583822</v>
      </c>
    </row>
    <row r="13" spans="1:11" s="63" customFormat="1" ht="25.5">
      <c r="A13" s="80" t="s">
        <v>305</v>
      </c>
      <c r="B13" s="78" t="s">
        <v>32</v>
      </c>
      <c r="C13" s="78" t="s">
        <v>1</v>
      </c>
      <c r="D13" s="78" t="s">
        <v>5</v>
      </c>
      <c r="E13" s="81">
        <v>71000</v>
      </c>
      <c r="F13" s="82" t="s">
        <v>141</v>
      </c>
      <c r="G13" s="78"/>
      <c r="H13" s="79">
        <f t="shared" si="0"/>
        <v>682.4</v>
      </c>
      <c r="I13" s="79">
        <f t="shared" si="0"/>
        <v>126.5</v>
      </c>
      <c r="J13" s="79">
        <f t="shared" si="0"/>
        <v>-555.9</v>
      </c>
      <c r="K13" s="79">
        <f t="shared" si="1"/>
        <v>-81.46248534583822</v>
      </c>
    </row>
    <row r="14" spans="1:11" s="63" customFormat="1" ht="25.5">
      <c r="A14" s="80" t="s">
        <v>142</v>
      </c>
      <c r="B14" s="78" t="s">
        <v>32</v>
      </c>
      <c r="C14" s="78" t="s">
        <v>1</v>
      </c>
      <c r="D14" s="78" t="s">
        <v>5</v>
      </c>
      <c r="E14" s="83">
        <v>71001</v>
      </c>
      <c r="F14" s="84" t="s">
        <v>141</v>
      </c>
      <c r="G14" s="78"/>
      <c r="H14" s="79">
        <f t="shared" si="0"/>
        <v>682.4</v>
      </c>
      <c r="I14" s="79">
        <f t="shared" si="0"/>
        <v>126.5</v>
      </c>
      <c r="J14" s="79">
        <f t="shared" si="0"/>
        <v>-555.9</v>
      </c>
      <c r="K14" s="79">
        <f t="shared" si="1"/>
        <v>-81.46248534583822</v>
      </c>
    </row>
    <row r="15" spans="1:11" s="63" customFormat="1" ht="12.75">
      <c r="A15" s="80" t="s">
        <v>143</v>
      </c>
      <c r="B15" s="78" t="s">
        <v>32</v>
      </c>
      <c r="C15" s="78" t="s">
        <v>1</v>
      </c>
      <c r="D15" s="78" t="s">
        <v>5</v>
      </c>
      <c r="E15" s="83">
        <v>71001</v>
      </c>
      <c r="F15" s="84" t="s">
        <v>144</v>
      </c>
      <c r="G15" s="78"/>
      <c r="H15" s="79">
        <f>H16+H18</f>
        <v>682.4</v>
      </c>
      <c r="I15" s="79">
        <f>I16+I18</f>
        <v>126.5</v>
      </c>
      <c r="J15" s="79">
        <f>J16+J18</f>
        <v>-555.9</v>
      </c>
      <c r="K15" s="79">
        <f t="shared" si="1"/>
        <v>-81.46248534583822</v>
      </c>
    </row>
    <row r="16" spans="1:11" s="63" customFormat="1" ht="38.25">
      <c r="A16" s="77" t="s">
        <v>58</v>
      </c>
      <c r="B16" s="78" t="s">
        <v>32</v>
      </c>
      <c r="C16" s="78" t="s">
        <v>1</v>
      </c>
      <c r="D16" s="78" t="s">
        <v>5</v>
      </c>
      <c r="E16" s="83">
        <v>71001</v>
      </c>
      <c r="F16" s="84" t="s">
        <v>144</v>
      </c>
      <c r="G16" s="78" t="s">
        <v>57</v>
      </c>
      <c r="H16" s="79">
        <f>H17</f>
        <v>681.4</v>
      </c>
      <c r="I16" s="79">
        <f>I17</f>
        <v>126.5</v>
      </c>
      <c r="J16" s="79">
        <f>J17</f>
        <v>-554.9</v>
      </c>
      <c r="K16" s="79">
        <f t="shared" si="1"/>
        <v>-81.43528030525388</v>
      </c>
    </row>
    <row r="17" spans="1:12" s="63" customFormat="1" ht="12.75">
      <c r="A17" s="77" t="s">
        <v>60</v>
      </c>
      <c r="B17" s="78" t="s">
        <v>32</v>
      </c>
      <c r="C17" s="78" t="s">
        <v>1</v>
      </c>
      <c r="D17" s="78" t="s">
        <v>5</v>
      </c>
      <c r="E17" s="83">
        <v>71001</v>
      </c>
      <c r="F17" s="84" t="s">
        <v>144</v>
      </c>
      <c r="G17" s="78" t="s">
        <v>59</v>
      </c>
      <c r="H17" s="85">
        <f>595.3+86.1</f>
        <v>681.4</v>
      </c>
      <c r="I17" s="85">
        <v>126.5</v>
      </c>
      <c r="J17" s="85">
        <f>I17-H17</f>
        <v>-554.9</v>
      </c>
      <c r="K17" s="79">
        <f t="shared" si="1"/>
        <v>-81.43528030525388</v>
      </c>
      <c r="L17" s="104" t="s">
        <v>408</v>
      </c>
    </row>
    <row r="18" spans="1:11" s="63" customFormat="1" ht="12.75">
      <c r="A18" s="77" t="s">
        <v>66</v>
      </c>
      <c r="B18" s="78" t="s">
        <v>32</v>
      </c>
      <c r="C18" s="78" t="s">
        <v>1</v>
      </c>
      <c r="D18" s="78" t="s">
        <v>5</v>
      </c>
      <c r="E18" s="83">
        <v>71001</v>
      </c>
      <c r="F18" s="84" t="s">
        <v>144</v>
      </c>
      <c r="G18" s="86" t="s">
        <v>64</v>
      </c>
      <c r="H18" s="79">
        <f>H19</f>
        <v>1</v>
      </c>
      <c r="I18" s="79">
        <f>I19</f>
        <v>0</v>
      </c>
      <c r="J18" s="79">
        <f>J19</f>
        <v>-1</v>
      </c>
      <c r="K18" s="79">
        <f t="shared" si="1"/>
        <v>-100</v>
      </c>
    </row>
    <row r="19" spans="1:12" s="63" customFormat="1" ht="12.75">
      <c r="A19" s="77" t="s">
        <v>67</v>
      </c>
      <c r="B19" s="78" t="s">
        <v>32</v>
      </c>
      <c r="C19" s="78" t="s">
        <v>1</v>
      </c>
      <c r="D19" s="78" t="s">
        <v>5</v>
      </c>
      <c r="E19" s="83">
        <v>71001</v>
      </c>
      <c r="F19" s="84" t="s">
        <v>144</v>
      </c>
      <c r="G19" s="86" t="s">
        <v>65</v>
      </c>
      <c r="H19" s="85">
        <v>1</v>
      </c>
      <c r="I19" s="85">
        <v>0</v>
      </c>
      <c r="J19" s="85">
        <f>I19-H19</f>
        <v>-1</v>
      </c>
      <c r="K19" s="79">
        <f t="shared" si="1"/>
        <v>-100</v>
      </c>
      <c r="L19" s="104" t="s">
        <v>408</v>
      </c>
    </row>
    <row r="20" spans="1:11" s="64" customFormat="1" ht="25.5">
      <c r="A20" s="87" t="s">
        <v>145</v>
      </c>
      <c r="B20" s="88" t="s">
        <v>33</v>
      </c>
      <c r="C20" s="88"/>
      <c r="D20" s="88"/>
      <c r="E20" s="88"/>
      <c r="F20" s="88"/>
      <c r="G20" s="88"/>
      <c r="H20" s="76">
        <f>H21+H138+H145+H178+H208+H282+H306+H313</f>
        <v>70951.30000000002</v>
      </c>
      <c r="I20" s="76">
        <f>I21+I138+I145+I178+I208+I282+I306+I313</f>
        <v>10606.1</v>
      </c>
      <c r="J20" s="76">
        <f>J21+J138+J145+J178+J208+J282+J306+J313</f>
        <v>-60345.2</v>
      </c>
      <c r="K20" s="76">
        <f t="shared" si="1"/>
        <v>-85.05157763141762</v>
      </c>
    </row>
    <row r="21" spans="1:11" s="64" customFormat="1" ht="12.75">
      <c r="A21" s="77" t="s">
        <v>13</v>
      </c>
      <c r="B21" s="86" t="s">
        <v>33</v>
      </c>
      <c r="C21" s="86" t="s">
        <v>1</v>
      </c>
      <c r="D21" s="86"/>
      <c r="E21" s="88"/>
      <c r="F21" s="88"/>
      <c r="G21" s="88"/>
      <c r="H21" s="79">
        <f>H22+H28+H77+H83+H71</f>
        <v>23366.5</v>
      </c>
      <c r="I21" s="79">
        <f>I22+I28+I77+I83+I71</f>
        <v>4332.8</v>
      </c>
      <c r="J21" s="79">
        <f>J22+J28+J77+J83+J71</f>
        <v>-19033.7</v>
      </c>
      <c r="K21" s="79">
        <f t="shared" si="1"/>
        <v>-81.45721438811975</v>
      </c>
    </row>
    <row r="22" spans="1:11" s="64" customFormat="1" ht="25.5">
      <c r="A22" s="77" t="s">
        <v>146</v>
      </c>
      <c r="B22" s="86" t="s">
        <v>33</v>
      </c>
      <c r="C22" s="86" t="s">
        <v>1</v>
      </c>
      <c r="D22" s="86" t="s">
        <v>6</v>
      </c>
      <c r="E22" s="86"/>
      <c r="F22" s="86"/>
      <c r="G22" s="86"/>
      <c r="H22" s="79">
        <f aca="true" t="shared" si="2" ref="H22:J26">H23</f>
        <v>1175.1</v>
      </c>
      <c r="I22" s="79">
        <f t="shared" si="2"/>
        <v>263.7</v>
      </c>
      <c r="J22" s="79">
        <f t="shared" si="2"/>
        <v>-911.3999999999999</v>
      </c>
      <c r="K22" s="79">
        <f t="shared" si="1"/>
        <v>-77.55935665049783</v>
      </c>
    </row>
    <row r="23" spans="1:11" s="64" customFormat="1" ht="25.5">
      <c r="A23" s="80" t="s">
        <v>305</v>
      </c>
      <c r="B23" s="86" t="s">
        <v>33</v>
      </c>
      <c r="C23" s="86" t="s">
        <v>1</v>
      </c>
      <c r="D23" s="86" t="s">
        <v>6</v>
      </c>
      <c r="E23" s="81">
        <v>71000</v>
      </c>
      <c r="F23" s="82" t="s">
        <v>141</v>
      </c>
      <c r="G23" s="86"/>
      <c r="H23" s="79">
        <f t="shared" si="2"/>
        <v>1175.1</v>
      </c>
      <c r="I23" s="79">
        <f t="shared" si="2"/>
        <v>263.7</v>
      </c>
      <c r="J23" s="79">
        <f t="shared" si="2"/>
        <v>-911.3999999999999</v>
      </c>
      <c r="K23" s="79">
        <f t="shared" si="1"/>
        <v>-77.55935665049783</v>
      </c>
    </row>
    <row r="24" spans="1:11" s="64" customFormat="1" ht="25.5">
      <c r="A24" s="80" t="s">
        <v>142</v>
      </c>
      <c r="B24" s="86" t="s">
        <v>33</v>
      </c>
      <c r="C24" s="86" t="s">
        <v>1</v>
      </c>
      <c r="D24" s="86" t="s">
        <v>6</v>
      </c>
      <c r="E24" s="83">
        <v>71001</v>
      </c>
      <c r="F24" s="84" t="s">
        <v>141</v>
      </c>
      <c r="G24" s="86"/>
      <c r="H24" s="79">
        <f t="shared" si="2"/>
        <v>1175.1</v>
      </c>
      <c r="I24" s="79">
        <f t="shared" si="2"/>
        <v>263.7</v>
      </c>
      <c r="J24" s="79">
        <f t="shared" si="2"/>
        <v>-911.3999999999999</v>
      </c>
      <c r="K24" s="79">
        <f t="shared" si="1"/>
        <v>-77.55935665049783</v>
      </c>
    </row>
    <row r="25" spans="1:11" s="64" customFormat="1" ht="12.75">
      <c r="A25" s="77" t="s">
        <v>239</v>
      </c>
      <c r="B25" s="86" t="s">
        <v>33</v>
      </c>
      <c r="C25" s="86" t="s">
        <v>1</v>
      </c>
      <c r="D25" s="86" t="s">
        <v>6</v>
      </c>
      <c r="E25" s="83">
        <v>71001</v>
      </c>
      <c r="F25" s="84" t="s">
        <v>147</v>
      </c>
      <c r="G25" s="86"/>
      <c r="H25" s="79">
        <f t="shared" si="2"/>
        <v>1175.1</v>
      </c>
      <c r="I25" s="79">
        <f t="shared" si="2"/>
        <v>263.7</v>
      </c>
      <c r="J25" s="79">
        <f t="shared" si="2"/>
        <v>-911.3999999999999</v>
      </c>
      <c r="K25" s="79">
        <f t="shared" si="1"/>
        <v>-77.55935665049783</v>
      </c>
    </row>
    <row r="26" spans="1:11" s="64" customFormat="1" ht="38.25">
      <c r="A26" s="77" t="s">
        <v>58</v>
      </c>
      <c r="B26" s="86" t="s">
        <v>33</v>
      </c>
      <c r="C26" s="86" t="s">
        <v>1</v>
      </c>
      <c r="D26" s="86" t="s">
        <v>6</v>
      </c>
      <c r="E26" s="83">
        <v>71001</v>
      </c>
      <c r="F26" s="84" t="s">
        <v>147</v>
      </c>
      <c r="G26" s="86" t="s">
        <v>57</v>
      </c>
      <c r="H26" s="79">
        <f t="shared" si="2"/>
        <v>1175.1</v>
      </c>
      <c r="I26" s="79">
        <f t="shared" si="2"/>
        <v>263.7</v>
      </c>
      <c r="J26" s="79">
        <f t="shared" si="2"/>
        <v>-911.3999999999999</v>
      </c>
      <c r="K26" s="79">
        <f t="shared" si="1"/>
        <v>-77.55935665049783</v>
      </c>
    </row>
    <row r="27" spans="1:12" s="64" customFormat="1" ht="12.75">
      <c r="A27" s="77" t="s">
        <v>60</v>
      </c>
      <c r="B27" s="86" t="s">
        <v>33</v>
      </c>
      <c r="C27" s="86" t="s">
        <v>1</v>
      </c>
      <c r="D27" s="86" t="s">
        <v>6</v>
      </c>
      <c r="E27" s="83">
        <v>71001</v>
      </c>
      <c r="F27" s="84" t="s">
        <v>147</v>
      </c>
      <c r="G27" s="86" t="s">
        <v>59</v>
      </c>
      <c r="H27" s="89">
        <v>1175.1</v>
      </c>
      <c r="I27" s="89">
        <v>263.7</v>
      </c>
      <c r="J27" s="89">
        <f>I27-H27</f>
        <v>-911.3999999999999</v>
      </c>
      <c r="K27" s="79">
        <f t="shared" si="1"/>
        <v>-77.55935665049783</v>
      </c>
      <c r="L27" s="104" t="s">
        <v>408</v>
      </c>
    </row>
    <row r="28" spans="1:11" s="64" customFormat="1" ht="25.5">
      <c r="A28" s="77" t="s">
        <v>43</v>
      </c>
      <c r="B28" s="86" t="s">
        <v>33</v>
      </c>
      <c r="C28" s="86" t="s">
        <v>1</v>
      </c>
      <c r="D28" s="86" t="s">
        <v>8</v>
      </c>
      <c r="E28" s="86"/>
      <c r="F28" s="86"/>
      <c r="G28" s="86"/>
      <c r="H28" s="79">
        <f>H29+H47</f>
        <v>7726.700000000001</v>
      </c>
      <c r="I28" s="79">
        <f>I29+I47</f>
        <v>1342.8999999999999</v>
      </c>
      <c r="J28" s="79">
        <f>J29+J47</f>
        <v>-6383.8</v>
      </c>
      <c r="K28" s="79">
        <f t="shared" si="1"/>
        <v>-82.62000595338243</v>
      </c>
    </row>
    <row r="29" spans="1:11" s="64" customFormat="1" ht="25.5">
      <c r="A29" s="80" t="s">
        <v>305</v>
      </c>
      <c r="B29" s="86" t="s">
        <v>33</v>
      </c>
      <c r="C29" s="86" t="s">
        <v>1</v>
      </c>
      <c r="D29" s="86" t="s">
        <v>8</v>
      </c>
      <c r="E29" s="81">
        <v>71000</v>
      </c>
      <c r="F29" s="82" t="s">
        <v>141</v>
      </c>
      <c r="G29" s="86"/>
      <c r="H29" s="79">
        <f>H30</f>
        <v>6736.1</v>
      </c>
      <c r="I29" s="79">
        <f>I30</f>
        <v>1154.6</v>
      </c>
      <c r="J29" s="79">
        <f>J30</f>
        <v>-5581.5</v>
      </c>
      <c r="K29" s="79">
        <f t="shared" si="1"/>
        <v>-82.85951811879278</v>
      </c>
    </row>
    <row r="30" spans="1:11" s="64" customFormat="1" ht="25.5">
      <c r="A30" s="80" t="s">
        <v>142</v>
      </c>
      <c r="B30" s="86" t="s">
        <v>33</v>
      </c>
      <c r="C30" s="86" t="s">
        <v>1</v>
      </c>
      <c r="D30" s="86" t="s">
        <v>8</v>
      </c>
      <c r="E30" s="83">
        <v>71001</v>
      </c>
      <c r="F30" s="84" t="s">
        <v>141</v>
      </c>
      <c r="G30" s="86"/>
      <c r="H30" s="79">
        <f>H34+H41+H31</f>
        <v>6736.1</v>
      </c>
      <c r="I30" s="79">
        <f>I34+I41+I31</f>
        <v>1154.6</v>
      </c>
      <c r="J30" s="79">
        <f>J34+J41+J31</f>
        <v>-5581.5</v>
      </c>
      <c r="K30" s="79">
        <f t="shared" si="1"/>
        <v>-82.85951811879278</v>
      </c>
    </row>
    <row r="31" spans="1:11" s="64" customFormat="1" ht="12.75">
      <c r="A31" s="77" t="s">
        <v>239</v>
      </c>
      <c r="B31" s="86" t="s">
        <v>33</v>
      </c>
      <c r="C31" s="86" t="s">
        <v>1</v>
      </c>
      <c r="D31" s="86" t="s">
        <v>8</v>
      </c>
      <c r="E31" s="83">
        <v>71001</v>
      </c>
      <c r="F31" s="84" t="s">
        <v>147</v>
      </c>
      <c r="G31" s="86"/>
      <c r="H31" s="79">
        <f aca="true" t="shared" si="3" ref="H31:J32">H32</f>
        <v>1267</v>
      </c>
      <c r="I31" s="79">
        <f t="shared" si="3"/>
        <v>152.1</v>
      </c>
      <c r="J31" s="79">
        <f t="shared" si="3"/>
        <v>-1114.9</v>
      </c>
      <c r="K31" s="79">
        <f t="shared" si="1"/>
        <v>-87.99526440410418</v>
      </c>
    </row>
    <row r="32" spans="1:11" s="64" customFormat="1" ht="38.25">
      <c r="A32" s="77" t="s">
        <v>58</v>
      </c>
      <c r="B32" s="86" t="s">
        <v>33</v>
      </c>
      <c r="C32" s="86" t="s">
        <v>1</v>
      </c>
      <c r="D32" s="86" t="s">
        <v>8</v>
      </c>
      <c r="E32" s="83">
        <v>71001</v>
      </c>
      <c r="F32" s="84" t="s">
        <v>147</v>
      </c>
      <c r="G32" s="86" t="s">
        <v>57</v>
      </c>
      <c r="H32" s="79">
        <f t="shared" si="3"/>
        <v>1267</v>
      </c>
      <c r="I32" s="79">
        <f t="shared" si="3"/>
        <v>152.1</v>
      </c>
      <c r="J32" s="79">
        <f t="shared" si="3"/>
        <v>-1114.9</v>
      </c>
      <c r="K32" s="79">
        <f t="shared" si="1"/>
        <v>-87.99526440410418</v>
      </c>
    </row>
    <row r="33" spans="1:12" s="64" customFormat="1" ht="12.75">
      <c r="A33" s="77" t="s">
        <v>60</v>
      </c>
      <c r="B33" s="86" t="s">
        <v>33</v>
      </c>
      <c r="C33" s="86" t="s">
        <v>1</v>
      </c>
      <c r="D33" s="86" t="s">
        <v>8</v>
      </c>
      <c r="E33" s="83">
        <v>71001</v>
      </c>
      <c r="F33" s="84" t="s">
        <v>147</v>
      </c>
      <c r="G33" s="86" t="s">
        <v>59</v>
      </c>
      <c r="H33" s="85">
        <v>1267</v>
      </c>
      <c r="I33" s="85">
        <v>152.1</v>
      </c>
      <c r="J33" s="85">
        <f>I33-H33</f>
        <v>-1114.9</v>
      </c>
      <c r="K33" s="79">
        <f t="shared" si="1"/>
        <v>-87.99526440410418</v>
      </c>
      <c r="L33" s="104" t="s">
        <v>408</v>
      </c>
    </row>
    <row r="34" spans="1:11" s="64" customFormat="1" ht="12.75">
      <c r="A34" s="80" t="s">
        <v>143</v>
      </c>
      <c r="B34" s="86" t="s">
        <v>33</v>
      </c>
      <c r="C34" s="86" t="s">
        <v>1</v>
      </c>
      <c r="D34" s="86" t="s">
        <v>8</v>
      </c>
      <c r="E34" s="83">
        <v>71001</v>
      </c>
      <c r="F34" s="84" t="s">
        <v>144</v>
      </c>
      <c r="G34" s="86"/>
      <c r="H34" s="79">
        <f>H35+H37+H39</f>
        <v>5273.3</v>
      </c>
      <c r="I34" s="79">
        <f>I35+I37+I39</f>
        <v>958.9</v>
      </c>
      <c r="J34" s="79">
        <f>J35+J37+J39</f>
        <v>-4314.4</v>
      </c>
      <c r="K34" s="79">
        <f t="shared" si="1"/>
        <v>-81.8159406823052</v>
      </c>
    </row>
    <row r="35" spans="1:11" s="64" customFormat="1" ht="38.25">
      <c r="A35" s="77" t="s">
        <v>58</v>
      </c>
      <c r="B35" s="86" t="s">
        <v>33</v>
      </c>
      <c r="C35" s="86" t="s">
        <v>1</v>
      </c>
      <c r="D35" s="86" t="s">
        <v>8</v>
      </c>
      <c r="E35" s="83">
        <v>71001</v>
      </c>
      <c r="F35" s="84" t="s">
        <v>144</v>
      </c>
      <c r="G35" s="86" t="s">
        <v>57</v>
      </c>
      <c r="H35" s="79">
        <f>H36</f>
        <v>4610.3</v>
      </c>
      <c r="I35" s="79">
        <f>I36</f>
        <v>951.1</v>
      </c>
      <c r="J35" s="79">
        <f>J36</f>
        <v>-3659.2000000000003</v>
      </c>
      <c r="K35" s="79">
        <f t="shared" si="1"/>
        <v>-79.37010606685031</v>
      </c>
    </row>
    <row r="36" spans="1:12" s="64" customFormat="1" ht="12.75">
      <c r="A36" s="77" t="s">
        <v>60</v>
      </c>
      <c r="B36" s="86" t="s">
        <v>33</v>
      </c>
      <c r="C36" s="86" t="s">
        <v>1</v>
      </c>
      <c r="D36" s="86" t="s">
        <v>8</v>
      </c>
      <c r="E36" s="83">
        <v>71001</v>
      </c>
      <c r="F36" s="84" t="s">
        <v>144</v>
      </c>
      <c r="G36" s="86" t="s">
        <v>59</v>
      </c>
      <c r="H36" s="85">
        <f>4660.3-34.6+34.6-50</f>
        <v>4610.3</v>
      </c>
      <c r="I36" s="85">
        <v>951.1</v>
      </c>
      <c r="J36" s="85">
        <f>I36-H36</f>
        <v>-3659.2000000000003</v>
      </c>
      <c r="K36" s="79">
        <f t="shared" si="1"/>
        <v>-79.37010606685031</v>
      </c>
      <c r="L36" s="104" t="s">
        <v>408</v>
      </c>
    </row>
    <row r="37" spans="1:11" s="64" customFormat="1" ht="12.75">
      <c r="A37" s="77" t="s">
        <v>62</v>
      </c>
      <c r="B37" s="86" t="s">
        <v>33</v>
      </c>
      <c r="C37" s="86" t="s">
        <v>1</v>
      </c>
      <c r="D37" s="86" t="s">
        <v>8</v>
      </c>
      <c r="E37" s="83">
        <v>71001</v>
      </c>
      <c r="F37" s="84" t="s">
        <v>144</v>
      </c>
      <c r="G37" s="86" t="s">
        <v>61</v>
      </c>
      <c r="H37" s="79">
        <f>H38</f>
        <v>619.6</v>
      </c>
      <c r="I37" s="79">
        <f>I38</f>
        <v>7.8</v>
      </c>
      <c r="J37" s="79">
        <f>J38</f>
        <v>-611.8000000000001</v>
      </c>
      <c r="K37" s="79">
        <f t="shared" si="1"/>
        <v>-98.7411233053583</v>
      </c>
    </row>
    <row r="38" spans="1:12" s="64" customFormat="1" ht="25.5">
      <c r="A38" s="77" t="s">
        <v>63</v>
      </c>
      <c r="B38" s="86" t="s">
        <v>33</v>
      </c>
      <c r="C38" s="86" t="s">
        <v>1</v>
      </c>
      <c r="D38" s="86" t="s">
        <v>8</v>
      </c>
      <c r="E38" s="83">
        <v>71001</v>
      </c>
      <c r="F38" s="84" t="s">
        <v>144</v>
      </c>
      <c r="G38" s="86" t="s">
        <v>17</v>
      </c>
      <c r="H38" s="85">
        <f>569.6+34.6-34.6+50</f>
        <v>619.6</v>
      </c>
      <c r="I38" s="85">
        <v>7.8</v>
      </c>
      <c r="J38" s="85">
        <f>I38-H38</f>
        <v>-611.8000000000001</v>
      </c>
      <c r="K38" s="79">
        <f t="shared" si="1"/>
        <v>-98.7411233053583</v>
      </c>
      <c r="L38" s="104" t="s">
        <v>408</v>
      </c>
    </row>
    <row r="39" spans="1:11" s="64" customFormat="1" ht="12.75">
      <c r="A39" s="77" t="s">
        <v>66</v>
      </c>
      <c r="B39" s="86" t="s">
        <v>33</v>
      </c>
      <c r="C39" s="86" t="s">
        <v>1</v>
      </c>
      <c r="D39" s="86" t="s">
        <v>8</v>
      </c>
      <c r="E39" s="83">
        <v>71001</v>
      </c>
      <c r="F39" s="84" t="s">
        <v>144</v>
      </c>
      <c r="G39" s="86" t="s">
        <v>64</v>
      </c>
      <c r="H39" s="79">
        <f>H40</f>
        <v>43.4</v>
      </c>
      <c r="I39" s="79">
        <f>I40</f>
        <v>0</v>
      </c>
      <c r="J39" s="79">
        <f>J40</f>
        <v>-43.4</v>
      </c>
      <c r="K39" s="79">
        <f t="shared" si="1"/>
        <v>-100</v>
      </c>
    </row>
    <row r="40" spans="1:12" s="64" customFormat="1" ht="12.75">
      <c r="A40" s="77" t="s">
        <v>67</v>
      </c>
      <c r="B40" s="86" t="s">
        <v>33</v>
      </c>
      <c r="C40" s="86" t="s">
        <v>1</v>
      </c>
      <c r="D40" s="86" t="s">
        <v>8</v>
      </c>
      <c r="E40" s="83">
        <v>71001</v>
      </c>
      <c r="F40" s="84" t="s">
        <v>144</v>
      </c>
      <c r="G40" s="86" t="s">
        <v>65</v>
      </c>
      <c r="H40" s="85">
        <f>42+1.4</f>
        <v>43.4</v>
      </c>
      <c r="I40" s="85">
        <v>0</v>
      </c>
      <c r="J40" s="85">
        <f>I40-H40</f>
        <v>-43.4</v>
      </c>
      <c r="K40" s="79">
        <f t="shared" si="1"/>
        <v>-100</v>
      </c>
      <c r="L40" s="104" t="s">
        <v>408</v>
      </c>
    </row>
    <row r="41" spans="1:11" s="64" customFormat="1" ht="12.75">
      <c r="A41" s="77" t="s">
        <v>148</v>
      </c>
      <c r="B41" s="86" t="s">
        <v>33</v>
      </c>
      <c r="C41" s="86" t="s">
        <v>1</v>
      </c>
      <c r="D41" s="86" t="s">
        <v>8</v>
      </c>
      <c r="E41" s="83">
        <v>71002</v>
      </c>
      <c r="F41" s="82" t="s">
        <v>141</v>
      </c>
      <c r="G41" s="86"/>
      <c r="H41" s="79">
        <f>H42</f>
        <v>195.8</v>
      </c>
      <c r="I41" s="79">
        <f>I42</f>
        <v>43.6</v>
      </c>
      <c r="J41" s="79">
        <f>J42</f>
        <v>-152.20000000000002</v>
      </c>
      <c r="K41" s="79">
        <f t="shared" si="1"/>
        <v>-77.732379979571</v>
      </c>
    </row>
    <row r="42" spans="1:11" s="64" customFormat="1" ht="51">
      <c r="A42" s="90" t="s">
        <v>306</v>
      </c>
      <c r="B42" s="86" t="s">
        <v>33</v>
      </c>
      <c r="C42" s="86" t="s">
        <v>1</v>
      </c>
      <c r="D42" s="86" t="s">
        <v>8</v>
      </c>
      <c r="E42" s="83">
        <v>71002</v>
      </c>
      <c r="F42" s="83">
        <v>76500</v>
      </c>
      <c r="G42" s="86"/>
      <c r="H42" s="79">
        <f>H43+H45</f>
        <v>195.8</v>
      </c>
      <c r="I42" s="79">
        <f>I43+I45</f>
        <v>43.6</v>
      </c>
      <c r="J42" s="79">
        <f>J43+J45</f>
        <v>-152.20000000000002</v>
      </c>
      <c r="K42" s="79">
        <f t="shared" si="1"/>
        <v>-77.732379979571</v>
      </c>
    </row>
    <row r="43" spans="1:11" s="64" customFormat="1" ht="38.25">
      <c r="A43" s="77" t="s">
        <v>58</v>
      </c>
      <c r="B43" s="86" t="s">
        <v>33</v>
      </c>
      <c r="C43" s="86" t="s">
        <v>1</v>
      </c>
      <c r="D43" s="86" t="s">
        <v>8</v>
      </c>
      <c r="E43" s="83">
        <v>71002</v>
      </c>
      <c r="F43" s="83">
        <v>76500</v>
      </c>
      <c r="G43" s="86" t="s">
        <v>57</v>
      </c>
      <c r="H43" s="79">
        <f>H44</f>
        <v>195</v>
      </c>
      <c r="I43" s="79">
        <f>I44</f>
        <v>43.6</v>
      </c>
      <c r="J43" s="79">
        <f>J44</f>
        <v>-151.4</v>
      </c>
      <c r="K43" s="79">
        <f t="shared" si="1"/>
        <v>-77.64102564102564</v>
      </c>
    </row>
    <row r="44" spans="1:12" s="64" customFormat="1" ht="12.75">
      <c r="A44" s="77" t="s">
        <v>60</v>
      </c>
      <c r="B44" s="86" t="s">
        <v>33</v>
      </c>
      <c r="C44" s="86" t="s">
        <v>1</v>
      </c>
      <c r="D44" s="86" t="s">
        <v>8</v>
      </c>
      <c r="E44" s="83">
        <v>71002</v>
      </c>
      <c r="F44" s="83">
        <v>76500</v>
      </c>
      <c r="G44" s="86" t="s">
        <v>59</v>
      </c>
      <c r="H44" s="91">
        <v>195</v>
      </c>
      <c r="I44" s="91">
        <v>43.6</v>
      </c>
      <c r="J44" s="91">
        <f>I44-H44</f>
        <v>-151.4</v>
      </c>
      <c r="K44" s="79">
        <f t="shared" si="1"/>
        <v>-77.64102564102564</v>
      </c>
      <c r="L44" s="104" t="s">
        <v>408</v>
      </c>
    </row>
    <row r="45" spans="1:11" s="64" customFormat="1" ht="12.75">
      <c r="A45" s="77" t="s">
        <v>66</v>
      </c>
      <c r="B45" s="86" t="s">
        <v>33</v>
      </c>
      <c r="C45" s="86" t="s">
        <v>1</v>
      </c>
      <c r="D45" s="86" t="s">
        <v>8</v>
      </c>
      <c r="E45" s="83">
        <v>71002</v>
      </c>
      <c r="F45" s="83">
        <v>76500</v>
      </c>
      <c r="G45" s="86" t="s">
        <v>64</v>
      </c>
      <c r="H45" s="79">
        <f>H46</f>
        <v>0.8</v>
      </c>
      <c r="I45" s="79">
        <f>I46</f>
        <v>0</v>
      </c>
      <c r="J45" s="79">
        <f>J46</f>
        <v>-0.8</v>
      </c>
      <c r="K45" s="79">
        <f t="shared" si="1"/>
        <v>-100</v>
      </c>
    </row>
    <row r="46" spans="1:12" s="64" customFormat="1" ht="12.75">
      <c r="A46" s="77" t="s">
        <v>67</v>
      </c>
      <c r="B46" s="86" t="s">
        <v>33</v>
      </c>
      <c r="C46" s="86" t="s">
        <v>1</v>
      </c>
      <c r="D46" s="86" t="s">
        <v>8</v>
      </c>
      <c r="E46" s="83">
        <v>71002</v>
      </c>
      <c r="F46" s="83">
        <v>76500</v>
      </c>
      <c r="G46" s="86" t="s">
        <v>65</v>
      </c>
      <c r="H46" s="79">
        <v>0.8</v>
      </c>
      <c r="I46" s="79">
        <v>0</v>
      </c>
      <c r="J46" s="79">
        <f>I46-H46</f>
        <v>-0.8</v>
      </c>
      <c r="K46" s="79">
        <f t="shared" si="1"/>
        <v>-100</v>
      </c>
      <c r="L46" s="104" t="s">
        <v>408</v>
      </c>
    </row>
    <row r="47" spans="1:11" s="64" customFormat="1" ht="12.75">
      <c r="A47" s="77" t="s">
        <v>307</v>
      </c>
      <c r="B47" s="86" t="s">
        <v>33</v>
      </c>
      <c r="C47" s="86" t="s">
        <v>1</v>
      </c>
      <c r="D47" s="86" t="s">
        <v>8</v>
      </c>
      <c r="E47" s="81">
        <v>72000</v>
      </c>
      <c r="F47" s="82" t="s">
        <v>141</v>
      </c>
      <c r="G47" s="86"/>
      <c r="H47" s="79">
        <f>H48+H52+H58+H67</f>
        <v>990.6</v>
      </c>
      <c r="I47" s="79">
        <f>I48+I52+I58+I67</f>
        <v>188.3</v>
      </c>
      <c r="J47" s="79">
        <f>J48+J52+J58+J67</f>
        <v>-802.3</v>
      </c>
      <c r="K47" s="79">
        <f t="shared" si="1"/>
        <v>-80.99131839289319</v>
      </c>
    </row>
    <row r="48" spans="1:11" s="64" customFormat="1" ht="38.25">
      <c r="A48" s="80" t="s">
        <v>152</v>
      </c>
      <c r="B48" s="86" t="s">
        <v>33</v>
      </c>
      <c r="C48" s="86" t="s">
        <v>1</v>
      </c>
      <c r="D48" s="86" t="s">
        <v>8</v>
      </c>
      <c r="E48" s="83">
        <v>72002</v>
      </c>
      <c r="F48" s="82" t="s">
        <v>141</v>
      </c>
      <c r="G48" s="86"/>
      <c r="H48" s="79">
        <f aca="true" t="shared" si="4" ref="H48:J50">H49</f>
        <v>197.6</v>
      </c>
      <c r="I48" s="79">
        <f t="shared" si="4"/>
        <v>41.9</v>
      </c>
      <c r="J48" s="79">
        <f t="shared" si="4"/>
        <v>-155.7</v>
      </c>
      <c r="K48" s="79">
        <f t="shared" si="1"/>
        <v>-78.79554655870446</v>
      </c>
    </row>
    <row r="49" spans="1:11" s="64" customFormat="1" ht="25.5">
      <c r="A49" s="90" t="s">
        <v>308</v>
      </c>
      <c r="B49" s="86" t="s">
        <v>33</v>
      </c>
      <c r="C49" s="86" t="s">
        <v>1</v>
      </c>
      <c r="D49" s="86" t="s">
        <v>8</v>
      </c>
      <c r="E49" s="83">
        <v>72002</v>
      </c>
      <c r="F49" s="83" t="s">
        <v>154</v>
      </c>
      <c r="G49" s="86"/>
      <c r="H49" s="79">
        <f t="shared" si="4"/>
        <v>197.6</v>
      </c>
      <c r="I49" s="79">
        <f t="shared" si="4"/>
        <v>41.9</v>
      </c>
      <c r="J49" s="79">
        <f t="shared" si="4"/>
        <v>-155.7</v>
      </c>
      <c r="K49" s="79">
        <f t="shared" si="1"/>
        <v>-78.79554655870446</v>
      </c>
    </row>
    <row r="50" spans="1:11" s="64" customFormat="1" ht="38.25">
      <c r="A50" s="77" t="s">
        <v>58</v>
      </c>
      <c r="B50" s="86" t="s">
        <v>33</v>
      </c>
      <c r="C50" s="86" t="s">
        <v>1</v>
      </c>
      <c r="D50" s="86" t="s">
        <v>8</v>
      </c>
      <c r="E50" s="83">
        <v>72002</v>
      </c>
      <c r="F50" s="83" t="s">
        <v>154</v>
      </c>
      <c r="G50" s="86" t="s">
        <v>57</v>
      </c>
      <c r="H50" s="79">
        <f t="shared" si="4"/>
        <v>197.6</v>
      </c>
      <c r="I50" s="79">
        <f t="shared" si="4"/>
        <v>41.9</v>
      </c>
      <c r="J50" s="79">
        <f t="shared" si="4"/>
        <v>-155.7</v>
      </c>
      <c r="K50" s="79">
        <f t="shared" si="1"/>
        <v>-78.79554655870446</v>
      </c>
    </row>
    <row r="51" spans="1:12" s="64" customFormat="1" ht="12.75">
      <c r="A51" s="77" t="s">
        <v>60</v>
      </c>
      <c r="B51" s="86" t="s">
        <v>33</v>
      </c>
      <c r="C51" s="86" t="s">
        <v>1</v>
      </c>
      <c r="D51" s="86" t="s">
        <v>8</v>
      </c>
      <c r="E51" s="83">
        <v>72002</v>
      </c>
      <c r="F51" s="83" t="s">
        <v>154</v>
      </c>
      <c r="G51" s="86" t="s">
        <v>59</v>
      </c>
      <c r="H51" s="85">
        <v>197.6</v>
      </c>
      <c r="I51" s="85">
        <v>41.9</v>
      </c>
      <c r="J51" s="85">
        <f>I51-H51</f>
        <v>-155.7</v>
      </c>
      <c r="K51" s="79">
        <f t="shared" si="1"/>
        <v>-78.79554655870446</v>
      </c>
      <c r="L51" s="104" t="s">
        <v>408</v>
      </c>
    </row>
    <row r="52" spans="1:11" s="64" customFormat="1" ht="25.5">
      <c r="A52" s="77" t="s">
        <v>309</v>
      </c>
      <c r="B52" s="86" t="s">
        <v>33</v>
      </c>
      <c r="C52" s="86" t="s">
        <v>1</v>
      </c>
      <c r="D52" s="86" t="s">
        <v>8</v>
      </c>
      <c r="E52" s="83">
        <v>72003</v>
      </c>
      <c r="F52" s="82" t="s">
        <v>141</v>
      </c>
      <c r="G52" s="86"/>
      <c r="H52" s="79">
        <f>H53</f>
        <v>204.4</v>
      </c>
      <c r="I52" s="79">
        <f>I53</f>
        <v>39.7</v>
      </c>
      <c r="J52" s="79">
        <f>J53</f>
        <v>-164.70000000000002</v>
      </c>
      <c r="K52" s="79">
        <f t="shared" si="1"/>
        <v>-80.57729941291585</v>
      </c>
    </row>
    <row r="53" spans="1:11" s="64" customFormat="1" ht="25.5">
      <c r="A53" s="77" t="s">
        <v>160</v>
      </c>
      <c r="B53" s="86" t="s">
        <v>33</v>
      </c>
      <c r="C53" s="86" t="s">
        <v>1</v>
      </c>
      <c r="D53" s="86" t="s">
        <v>8</v>
      </c>
      <c r="E53" s="83">
        <v>72003</v>
      </c>
      <c r="F53" s="83">
        <v>76600</v>
      </c>
      <c r="G53" s="86"/>
      <c r="H53" s="79">
        <f>H54+H56</f>
        <v>204.4</v>
      </c>
      <c r="I53" s="79">
        <f>I54+I56</f>
        <v>39.7</v>
      </c>
      <c r="J53" s="79">
        <f>J54+J56</f>
        <v>-164.70000000000002</v>
      </c>
      <c r="K53" s="79">
        <f t="shared" si="1"/>
        <v>-80.57729941291585</v>
      </c>
    </row>
    <row r="54" spans="1:11" s="64" customFormat="1" ht="38.25">
      <c r="A54" s="77" t="s">
        <v>58</v>
      </c>
      <c r="B54" s="86" t="s">
        <v>33</v>
      </c>
      <c r="C54" s="86" t="s">
        <v>1</v>
      </c>
      <c r="D54" s="86" t="s">
        <v>8</v>
      </c>
      <c r="E54" s="83">
        <v>72003</v>
      </c>
      <c r="F54" s="83">
        <v>76600</v>
      </c>
      <c r="G54" s="86" t="s">
        <v>57</v>
      </c>
      <c r="H54" s="79">
        <f>H55</f>
        <v>202</v>
      </c>
      <c r="I54" s="79">
        <f>I55</f>
        <v>39.7</v>
      </c>
      <c r="J54" s="79">
        <f>J55</f>
        <v>-162.3</v>
      </c>
      <c r="K54" s="79">
        <f t="shared" si="1"/>
        <v>-80.34653465346534</v>
      </c>
    </row>
    <row r="55" spans="1:12" s="64" customFormat="1" ht="12.75">
      <c r="A55" s="77" t="s">
        <v>60</v>
      </c>
      <c r="B55" s="86" t="s">
        <v>33</v>
      </c>
      <c r="C55" s="86" t="s">
        <v>1</v>
      </c>
      <c r="D55" s="86" t="s">
        <v>8</v>
      </c>
      <c r="E55" s="83">
        <v>72003</v>
      </c>
      <c r="F55" s="83">
        <v>76600</v>
      </c>
      <c r="G55" s="86" t="s">
        <v>59</v>
      </c>
      <c r="H55" s="91">
        <v>202</v>
      </c>
      <c r="I55" s="91">
        <v>39.7</v>
      </c>
      <c r="J55" s="91">
        <f>I55-H55</f>
        <v>-162.3</v>
      </c>
      <c r="K55" s="79">
        <f t="shared" si="1"/>
        <v>-80.34653465346534</v>
      </c>
      <c r="L55" s="104" t="s">
        <v>408</v>
      </c>
    </row>
    <row r="56" spans="1:11" s="64" customFormat="1" ht="12.75">
      <c r="A56" s="77" t="s">
        <v>62</v>
      </c>
      <c r="B56" s="86" t="s">
        <v>33</v>
      </c>
      <c r="C56" s="86" t="s">
        <v>1</v>
      </c>
      <c r="D56" s="86" t="s">
        <v>8</v>
      </c>
      <c r="E56" s="83">
        <v>72003</v>
      </c>
      <c r="F56" s="83">
        <v>76600</v>
      </c>
      <c r="G56" s="86" t="s">
        <v>61</v>
      </c>
      <c r="H56" s="79">
        <f>H57</f>
        <v>2.4</v>
      </c>
      <c r="I56" s="79">
        <f>I57</f>
        <v>0</v>
      </c>
      <c r="J56" s="79">
        <f>J57</f>
        <v>-2.4</v>
      </c>
      <c r="K56" s="79">
        <f t="shared" si="1"/>
        <v>-100</v>
      </c>
    </row>
    <row r="57" spans="1:12" s="64" customFormat="1" ht="25.5">
      <c r="A57" s="77" t="s">
        <v>63</v>
      </c>
      <c r="B57" s="86" t="s">
        <v>33</v>
      </c>
      <c r="C57" s="86" t="s">
        <v>1</v>
      </c>
      <c r="D57" s="86" t="s">
        <v>8</v>
      </c>
      <c r="E57" s="83">
        <v>72003</v>
      </c>
      <c r="F57" s="83">
        <v>76600</v>
      </c>
      <c r="G57" s="86" t="s">
        <v>17</v>
      </c>
      <c r="H57" s="85">
        <v>2.4</v>
      </c>
      <c r="I57" s="85">
        <v>0</v>
      </c>
      <c r="J57" s="85">
        <f>I57-H57</f>
        <v>-2.4</v>
      </c>
      <c r="K57" s="79">
        <f t="shared" si="1"/>
        <v>-100</v>
      </c>
      <c r="L57" s="104" t="s">
        <v>408</v>
      </c>
    </row>
    <row r="58" spans="1:11" s="64" customFormat="1" ht="25.5">
      <c r="A58" s="77" t="s">
        <v>155</v>
      </c>
      <c r="B58" s="86" t="s">
        <v>33</v>
      </c>
      <c r="C58" s="86" t="s">
        <v>1</v>
      </c>
      <c r="D58" s="86" t="s">
        <v>8</v>
      </c>
      <c r="E58" s="83">
        <v>72004</v>
      </c>
      <c r="F58" s="82" t="s">
        <v>141</v>
      </c>
      <c r="G58" s="86"/>
      <c r="H58" s="79">
        <f>H59+H64</f>
        <v>393.1</v>
      </c>
      <c r="I58" s="79">
        <f>I59+I64</f>
        <v>69.9</v>
      </c>
      <c r="J58" s="79">
        <f>J59+J64</f>
        <v>-323.20000000000005</v>
      </c>
      <c r="K58" s="79">
        <f t="shared" si="1"/>
        <v>-82.21826507250063</v>
      </c>
    </row>
    <row r="59" spans="1:11" s="64" customFormat="1" ht="25.5">
      <c r="A59" s="90" t="s">
        <v>156</v>
      </c>
      <c r="B59" s="86" t="s">
        <v>33</v>
      </c>
      <c r="C59" s="86" t="s">
        <v>1</v>
      </c>
      <c r="D59" s="86" t="s">
        <v>8</v>
      </c>
      <c r="E59" s="83">
        <v>72004</v>
      </c>
      <c r="F59" s="83">
        <v>76400</v>
      </c>
      <c r="G59" s="86"/>
      <c r="H59" s="79">
        <f>H60+H62</f>
        <v>207.60000000000002</v>
      </c>
      <c r="I59" s="79">
        <f>I60+I62</f>
        <v>31</v>
      </c>
      <c r="J59" s="79">
        <f>J60+J62</f>
        <v>-176.60000000000002</v>
      </c>
      <c r="K59" s="79">
        <f t="shared" si="1"/>
        <v>-85.0674373795761</v>
      </c>
    </row>
    <row r="60" spans="1:11" s="64" customFormat="1" ht="38.25">
      <c r="A60" s="77" t="s">
        <v>58</v>
      </c>
      <c r="B60" s="86" t="s">
        <v>33</v>
      </c>
      <c r="C60" s="86" t="s">
        <v>1</v>
      </c>
      <c r="D60" s="86" t="s">
        <v>8</v>
      </c>
      <c r="E60" s="83">
        <v>72004</v>
      </c>
      <c r="F60" s="83">
        <v>76400</v>
      </c>
      <c r="G60" s="86" t="s">
        <v>57</v>
      </c>
      <c r="H60" s="79">
        <f>H61</f>
        <v>207.3</v>
      </c>
      <c r="I60" s="79">
        <f>I61</f>
        <v>31</v>
      </c>
      <c r="J60" s="79">
        <f>J61</f>
        <v>-176.3</v>
      </c>
      <c r="K60" s="79">
        <f t="shared" si="1"/>
        <v>-85.04582730342499</v>
      </c>
    </row>
    <row r="61" spans="1:12" s="64" customFormat="1" ht="12.75">
      <c r="A61" s="77" t="s">
        <v>60</v>
      </c>
      <c r="B61" s="86" t="s">
        <v>33</v>
      </c>
      <c r="C61" s="86" t="s">
        <v>1</v>
      </c>
      <c r="D61" s="86" t="s">
        <v>8</v>
      </c>
      <c r="E61" s="83">
        <v>72004</v>
      </c>
      <c r="F61" s="83">
        <v>76400</v>
      </c>
      <c r="G61" s="86" t="s">
        <v>59</v>
      </c>
      <c r="H61" s="85">
        <v>207.3</v>
      </c>
      <c r="I61" s="85">
        <v>31</v>
      </c>
      <c r="J61" s="85">
        <f>I61-H61</f>
        <v>-176.3</v>
      </c>
      <c r="K61" s="79">
        <f t="shared" si="1"/>
        <v>-85.04582730342499</v>
      </c>
      <c r="L61" s="104" t="s">
        <v>408</v>
      </c>
    </row>
    <row r="62" spans="1:11" s="64" customFormat="1" ht="12.75">
      <c r="A62" s="77" t="s">
        <v>62</v>
      </c>
      <c r="B62" s="86" t="s">
        <v>33</v>
      </c>
      <c r="C62" s="86" t="s">
        <v>1</v>
      </c>
      <c r="D62" s="86" t="s">
        <v>8</v>
      </c>
      <c r="E62" s="83">
        <v>72004</v>
      </c>
      <c r="F62" s="83">
        <v>76400</v>
      </c>
      <c r="G62" s="86" t="s">
        <v>61</v>
      </c>
      <c r="H62" s="79">
        <f>H63</f>
        <v>0.3</v>
      </c>
      <c r="I62" s="79">
        <f>I63</f>
        <v>0</v>
      </c>
      <c r="J62" s="79">
        <f>J63</f>
        <v>-0.3</v>
      </c>
      <c r="K62" s="79">
        <f t="shared" si="1"/>
        <v>-100</v>
      </c>
    </row>
    <row r="63" spans="1:12" s="64" customFormat="1" ht="25.5">
      <c r="A63" s="77" t="s">
        <v>63</v>
      </c>
      <c r="B63" s="86" t="s">
        <v>33</v>
      </c>
      <c r="C63" s="86" t="s">
        <v>1</v>
      </c>
      <c r="D63" s="86" t="s">
        <v>8</v>
      </c>
      <c r="E63" s="83">
        <v>72004</v>
      </c>
      <c r="F63" s="83">
        <v>76400</v>
      </c>
      <c r="G63" s="86" t="s">
        <v>17</v>
      </c>
      <c r="H63" s="85">
        <v>0.3</v>
      </c>
      <c r="I63" s="85">
        <v>0</v>
      </c>
      <c r="J63" s="85">
        <f>I63-H63</f>
        <v>-0.3</v>
      </c>
      <c r="K63" s="79">
        <f t="shared" si="1"/>
        <v>-100</v>
      </c>
      <c r="L63" s="104" t="s">
        <v>408</v>
      </c>
    </row>
    <row r="64" spans="1:11" s="64" customFormat="1" ht="63.75">
      <c r="A64" s="90" t="s">
        <v>157</v>
      </c>
      <c r="B64" s="86" t="s">
        <v>33</v>
      </c>
      <c r="C64" s="86" t="s">
        <v>1</v>
      </c>
      <c r="D64" s="86" t="s">
        <v>8</v>
      </c>
      <c r="E64" s="83">
        <v>72004</v>
      </c>
      <c r="F64" s="83" t="s">
        <v>158</v>
      </c>
      <c r="G64" s="86"/>
      <c r="H64" s="79">
        <f aca="true" t="shared" si="5" ref="H64:J65">H65</f>
        <v>185.5</v>
      </c>
      <c r="I64" s="79">
        <f t="shared" si="5"/>
        <v>38.9</v>
      </c>
      <c r="J64" s="79">
        <f t="shared" si="5"/>
        <v>-146.6</v>
      </c>
      <c r="K64" s="79">
        <f t="shared" si="1"/>
        <v>-79.02964959568733</v>
      </c>
    </row>
    <row r="65" spans="1:11" s="64" customFormat="1" ht="38.25">
      <c r="A65" s="77" t="s">
        <v>58</v>
      </c>
      <c r="B65" s="86" t="s">
        <v>33</v>
      </c>
      <c r="C65" s="86" t="s">
        <v>1</v>
      </c>
      <c r="D65" s="86" t="s">
        <v>8</v>
      </c>
      <c r="E65" s="83">
        <v>72004</v>
      </c>
      <c r="F65" s="83" t="s">
        <v>158</v>
      </c>
      <c r="G65" s="86" t="s">
        <v>57</v>
      </c>
      <c r="H65" s="79">
        <f t="shared" si="5"/>
        <v>185.5</v>
      </c>
      <c r="I65" s="79">
        <f t="shared" si="5"/>
        <v>38.9</v>
      </c>
      <c r="J65" s="79">
        <f t="shared" si="5"/>
        <v>-146.6</v>
      </c>
      <c r="K65" s="79">
        <f t="shared" si="1"/>
        <v>-79.02964959568733</v>
      </c>
    </row>
    <row r="66" spans="1:12" s="64" customFormat="1" ht="12.75">
      <c r="A66" s="77" t="s">
        <v>60</v>
      </c>
      <c r="B66" s="86" t="s">
        <v>33</v>
      </c>
      <c r="C66" s="86" t="s">
        <v>1</v>
      </c>
      <c r="D66" s="86" t="s">
        <v>8</v>
      </c>
      <c r="E66" s="83">
        <v>72004</v>
      </c>
      <c r="F66" s="83" t="s">
        <v>158</v>
      </c>
      <c r="G66" s="86" t="s">
        <v>59</v>
      </c>
      <c r="H66" s="85">
        <v>185.5</v>
      </c>
      <c r="I66" s="85">
        <v>38.9</v>
      </c>
      <c r="J66" s="85">
        <f>I66-H66</f>
        <v>-146.6</v>
      </c>
      <c r="K66" s="79">
        <f t="shared" si="1"/>
        <v>-79.02964959568733</v>
      </c>
      <c r="L66" s="104" t="s">
        <v>408</v>
      </c>
    </row>
    <row r="67" spans="1:11" s="64" customFormat="1" ht="25.5">
      <c r="A67" s="77" t="s">
        <v>310</v>
      </c>
      <c r="B67" s="86" t="s">
        <v>33</v>
      </c>
      <c r="C67" s="86" t="s">
        <v>1</v>
      </c>
      <c r="D67" s="86" t="s">
        <v>8</v>
      </c>
      <c r="E67" s="83">
        <v>72005</v>
      </c>
      <c r="F67" s="82" t="s">
        <v>141</v>
      </c>
      <c r="G67" s="86"/>
      <c r="H67" s="79">
        <f aca="true" t="shared" si="6" ref="H67:J69">H68</f>
        <v>195.5</v>
      </c>
      <c r="I67" s="79">
        <f t="shared" si="6"/>
        <v>36.8</v>
      </c>
      <c r="J67" s="79">
        <f t="shared" si="6"/>
        <v>-158.7</v>
      </c>
      <c r="K67" s="79">
        <f t="shared" si="1"/>
        <v>-81.17647058823529</v>
      </c>
    </row>
    <row r="68" spans="1:11" s="64" customFormat="1" ht="25.5">
      <c r="A68" s="77" t="s">
        <v>311</v>
      </c>
      <c r="B68" s="86" t="s">
        <v>33</v>
      </c>
      <c r="C68" s="86" t="s">
        <v>1</v>
      </c>
      <c r="D68" s="86" t="s">
        <v>8</v>
      </c>
      <c r="E68" s="83">
        <v>72005</v>
      </c>
      <c r="F68" s="83">
        <v>76300</v>
      </c>
      <c r="G68" s="86"/>
      <c r="H68" s="79">
        <f t="shared" si="6"/>
        <v>195.5</v>
      </c>
      <c r="I68" s="79">
        <f t="shared" si="6"/>
        <v>36.8</v>
      </c>
      <c r="J68" s="79">
        <f t="shared" si="6"/>
        <v>-158.7</v>
      </c>
      <c r="K68" s="79">
        <f t="shared" si="1"/>
        <v>-81.17647058823529</v>
      </c>
    </row>
    <row r="69" spans="1:11" s="64" customFormat="1" ht="38.25">
      <c r="A69" s="77" t="s">
        <v>58</v>
      </c>
      <c r="B69" s="86" t="s">
        <v>33</v>
      </c>
      <c r="C69" s="86" t="s">
        <v>1</v>
      </c>
      <c r="D69" s="86" t="s">
        <v>8</v>
      </c>
      <c r="E69" s="83">
        <v>72005</v>
      </c>
      <c r="F69" s="83">
        <v>76300</v>
      </c>
      <c r="G69" s="86" t="s">
        <v>57</v>
      </c>
      <c r="H69" s="79">
        <f t="shared" si="6"/>
        <v>195.5</v>
      </c>
      <c r="I69" s="79">
        <f t="shared" si="6"/>
        <v>36.8</v>
      </c>
      <c r="J69" s="79">
        <f t="shared" si="6"/>
        <v>-158.7</v>
      </c>
      <c r="K69" s="79">
        <f t="shared" si="1"/>
        <v>-81.17647058823529</v>
      </c>
    </row>
    <row r="70" spans="1:12" s="64" customFormat="1" ht="12.75">
      <c r="A70" s="77" t="s">
        <v>60</v>
      </c>
      <c r="B70" s="86" t="s">
        <v>33</v>
      </c>
      <c r="C70" s="86" t="s">
        <v>1</v>
      </c>
      <c r="D70" s="86" t="s">
        <v>8</v>
      </c>
      <c r="E70" s="83">
        <v>72005</v>
      </c>
      <c r="F70" s="83">
        <v>76300</v>
      </c>
      <c r="G70" s="86" t="s">
        <v>59</v>
      </c>
      <c r="H70" s="91">
        <v>195.5</v>
      </c>
      <c r="I70" s="91">
        <v>36.8</v>
      </c>
      <c r="J70" s="91">
        <f>I70-H70</f>
        <v>-158.7</v>
      </c>
      <c r="K70" s="79">
        <f t="shared" si="1"/>
        <v>-81.17647058823529</v>
      </c>
      <c r="L70" s="104" t="s">
        <v>408</v>
      </c>
    </row>
    <row r="71" spans="1:11" s="64" customFormat="1" ht="12.75">
      <c r="A71" s="77" t="s">
        <v>132</v>
      </c>
      <c r="B71" s="86" t="s">
        <v>33</v>
      </c>
      <c r="C71" s="86" t="s">
        <v>1</v>
      </c>
      <c r="D71" s="86" t="s">
        <v>4</v>
      </c>
      <c r="E71" s="83"/>
      <c r="F71" s="83"/>
      <c r="G71" s="86"/>
      <c r="H71" s="79">
        <f aca="true" t="shared" si="7" ref="H71:J74">H72</f>
        <v>5.5</v>
      </c>
      <c r="I71" s="79">
        <f t="shared" si="7"/>
        <v>0</v>
      </c>
      <c r="J71" s="79">
        <f t="shared" si="7"/>
        <v>-5.5</v>
      </c>
      <c r="K71" s="79">
        <f t="shared" si="1"/>
        <v>-100</v>
      </c>
    </row>
    <row r="72" spans="1:11" s="64" customFormat="1" ht="12.75">
      <c r="A72" s="77" t="s">
        <v>127</v>
      </c>
      <c r="B72" s="86" t="s">
        <v>33</v>
      </c>
      <c r="C72" s="86" t="s">
        <v>1</v>
      </c>
      <c r="D72" s="86" t="s">
        <v>4</v>
      </c>
      <c r="E72" s="83">
        <v>99000</v>
      </c>
      <c r="F72" s="82" t="s">
        <v>141</v>
      </c>
      <c r="G72" s="86"/>
      <c r="H72" s="79">
        <f t="shared" si="7"/>
        <v>5.5</v>
      </c>
      <c r="I72" s="79">
        <f t="shared" si="7"/>
        <v>0</v>
      </c>
      <c r="J72" s="79">
        <f t="shared" si="7"/>
        <v>-5.5</v>
      </c>
      <c r="K72" s="79">
        <f t="shared" si="1"/>
        <v>-100</v>
      </c>
    </row>
    <row r="73" spans="1:11" s="64" customFormat="1" ht="12.75">
      <c r="A73" s="77" t="s">
        <v>130</v>
      </c>
      <c r="B73" s="86" t="s">
        <v>33</v>
      </c>
      <c r="C73" s="86" t="s">
        <v>1</v>
      </c>
      <c r="D73" s="86" t="s">
        <v>4</v>
      </c>
      <c r="E73" s="83">
        <v>99300</v>
      </c>
      <c r="F73" s="82" t="s">
        <v>141</v>
      </c>
      <c r="G73" s="86"/>
      <c r="H73" s="79">
        <f t="shared" si="7"/>
        <v>5.5</v>
      </c>
      <c r="I73" s="79">
        <f t="shared" si="7"/>
        <v>0</v>
      </c>
      <c r="J73" s="79">
        <f t="shared" si="7"/>
        <v>-5.5</v>
      </c>
      <c r="K73" s="79">
        <f t="shared" si="1"/>
        <v>-100</v>
      </c>
    </row>
    <row r="74" spans="1:11" s="64" customFormat="1" ht="38.25">
      <c r="A74" s="77" t="s">
        <v>161</v>
      </c>
      <c r="B74" s="86" t="s">
        <v>33</v>
      </c>
      <c r="C74" s="86" t="s">
        <v>1</v>
      </c>
      <c r="D74" s="86" t="s">
        <v>4</v>
      </c>
      <c r="E74" s="83">
        <v>99300</v>
      </c>
      <c r="F74" s="83">
        <v>51200</v>
      </c>
      <c r="G74" s="86"/>
      <c r="H74" s="79">
        <f t="shared" si="7"/>
        <v>5.5</v>
      </c>
      <c r="I74" s="79">
        <f t="shared" si="7"/>
        <v>0</v>
      </c>
      <c r="J74" s="79">
        <f t="shared" si="7"/>
        <v>-5.5</v>
      </c>
      <c r="K74" s="79">
        <f t="shared" si="1"/>
        <v>-100</v>
      </c>
    </row>
    <row r="75" spans="1:11" s="64" customFormat="1" ht="12.75">
      <c r="A75" s="77" t="s">
        <v>62</v>
      </c>
      <c r="B75" s="86" t="s">
        <v>33</v>
      </c>
      <c r="C75" s="86" t="s">
        <v>1</v>
      </c>
      <c r="D75" s="86" t="s">
        <v>4</v>
      </c>
      <c r="E75" s="83">
        <v>99300</v>
      </c>
      <c r="F75" s="83">
        <v>51200</v>
      </c>
      <c r="G75" s="86" t="s">
        <v>61</v>
      </c>
      <c r="H75" s="79">
        <f>H76</f>
        <v>5.5</v>
      </c>
      <c r="I75" s="79">
        <f>I76</f>
        <v>0</v>
      </c>
      <c r="J75" s="79">
        <f>J76</f>
        <v>-5.5</v>
      </c>
      <c r="K75" s="79">
        <f aca="true" t="shared" si="8" ref="K75:K138">I75/H75*100-100</f>
        <v>-100</v>
      </c>
    </row>
    <row r="76" spans="1:12" s="64" customFormat="1" ht="25.5">
      <c r="A76" s="77" t="s">
        <v>63</v>
      </c>
      <c r="B76" s="86" t="s">
        <v>33</v>
      </c>
      <c r="C76" s="86" t="s">
        <v>1</v>
      </c>
      <c r="D76" s="86" t="s">
        <v>4</v>
      </c>
      <c r="E76" s="83">
        <v>99300</v>
      </c>
      <c r="F76" s="83">
        <v>51200</v>
      </c>
      <c r="G76" s="86" t="s">
        <v>17</v>
      </c>
      <c r="H76" s="91">
        <v>5.5</v>
      </c>
      <c r="I76" s="91">
        <v>0</v>
      </c>
      <c r="J76" s="91">
        <f>I76-H76</f>
        <v>-5.5</v>
      </c>
      <c r="K76" s="79">
        <f t="shared" si="8"/>
        <v>-100</v>
      </c>
      <c r="L76" s="104" t="s">
        <v>408</v>
      </c>
    </row>
    <row r="77" spans="1:11" s="64" customFormat="1" ht="12.75">
      <c r="A77" s="77" t="s">
        <v>44</v>
      </c>
      <c r="B77" s="86" t="s">
        <v>33</v>
      </c>
      <c r="C77" s="86" t="s">
        <v>1</v>
      </c>
      <c r="D77" s="86" t="s">
        <v>7</v>
      </c>
      <c r="E77" s="86"/>
      <c r="F77" s="86"/>
      <c r="G77" s="86"/>
      <c r="H77" s="79">
        <f aca="true" t="shared" si="9" ref="H77:J81">H78</f>
        <v>121.4</v>
      </c>
      <c r="I77" s="79">
        <f t="shared" si="9"/>
        <v>23.3</v>
      </c>
      <c r="J77" s="79">
        <f t="shared" si="9"/>
        <v>-98.10000000000001</v>
      </c>
      <c r="K77" s="79">
        <f t="shared" si="8"/>
        <v>-80.80724876441516</v>
      </c>
    </row>
    <row r="78" spans="1:11" s="64" customFormat="1" ht="25.5">
      <c r="A78" s="80" t="s">
        <v>305</v>
      </c>
      <c r="B78" s="86" t="s">
        <v>33</v>
      </c>
      <c r="C78" s="86" t="s">
        <v>1</v>
      </c>
      <c r="D78" s="86" t="s">
        <v>7</v>
      </c>
      <c r="E78" s="81">
        <v>71000</v>
      </c>
      <c r="F78" s="82" t="s">
        <v>141</v>
      </c>
      <c r="G78" s="86"/>
      <c r="H78" s="79">
        <f t="shared" si="9"/>
        <v>121.4</v>
      </c>
      <c r="I78" s="79">
        <f t="shared" si="9"/>
        <v>23.3</v>
      </c>
      <c r="J78" s="79">
        <f t="shared" si="9"/>
        <v>-98.10000000000001</v>
      </c>
      <c r="K78" s="79">
        <f t="shared" si="8"/>
        <v>-80.80724876441516</v>
      </c>
    </row>
    <row r="79" spans="1:11" s="64" customFormat="1" ht="25.5">
      <c r="A79" s="77" t="s">
        <v>312</v>
      </c>
      <c r="B79" s="86" t="s">
        <v>33</v>
      </c>
      <c r="C79" s="86" t="s">
        <v>1</v>
      </c>
      <c r="D79" s="86" t="s">
        <v>7</v>
      </c>
      <c r="E79" s="83">
        <v>71003</v>
      </c>
      <c r="F79" s="82" t="s">
        <v>141</v>
      </c>
      <c r="G79" s="86"/>
      <c r="H79" s="79">
        <f t="shared" si="9"/>
        <v>121.4</v>
      </c>
      <c r="I79" s="79">
        <f t="shared" si="9"/>
        <v>23.3</v>
      </c>
      <c r="J79" s="79">
        <f t="shared" si="9"/>
        <v>-98.10000000000001</v>
      </c>
      <c r="K79" s="79">
        <f t="shared" si="8"/>
        <v>-80.80724876441516</v>
      </c>
    </row>
    <row r="80" spans="1:11" s="64" customFormat="1" ht="25.5">
      <c r="A80" s="77" t="s">
        <v>162</v>
      </c>
      <c r="B80" s="86" t="s">
        <v>33</v>
      </c>
      <c r="C80" s="86" t="s">
        <v>1</v>
      </c>
      <c r="D80" s="86" t="s">
        <v>7</v>
      </c>
      <c r="E80" s="83">
        <v>71003</v>
      </c>
      <c r="F80" s="84" t="s">
        <v>163</v>
      </c>
      <c r="G80" s="86"/>
      <c r="H80" s="79">
        <f t="shared" si="9"/>
        <v>121.4</v>
      </c>
      <c r="I80" s="79">
        <f t="shared" si="9"/>
        <v>23.3</v>
      </c>
      <c r="J80" s="79">
        <f t="shared" si="9"/>
        <v>-98.10000000000001</v>
      </c>
      <c r="K80" s="79">
        <f t="shared" si="8"/>
        <v>-80.80724876441516</v>
      </c>
    </row>
    <row r="81" spans="1:11" s="64" customFormat="1" ht="12.75">
      <c r="A81" s="77" t="s">
        <v>62</v>
      </c>
      <c r="B81" s="86" t="s">
        <v>33</v>
      </c>
      <c r="C81" s="86" t="s">
        <v>1</v>
      </c>
      <c r="D81" s="86" t="s">
        <v>7</v>
      </c>
      <c r="E81" s="83">
        <v>71003</v>
      </c>
      <c r="F81" s="84" t="s">
        <v>163</v>
      </c>
      <c r="G81" s="86" t="s">
        <v>61</v>
      </c>
      <c r="H81" s="79">
        <f t="shared" si="9"/>
        <v>121.4</v>
      </c>
      <c r="I81" s="79">
        <f t="shared" si="9"/>
        <v>23.3</v>
      </c>
      <c r="J81" s="79">
        <f t="shared" si="9"/>
        <v>-98.10000000000001</v>
      </c>
      <c r="K81" s="79">
        <f t="shared" si="8"/>
        <v>-80.80724876441516</v>
      </c>
    </row>
    <row r="82" spans="1:12" s="64" customFormat="1" ht="25.5">
      <c r="A82" s="77" t="s">
        <v>63</v>
      </c>
      <c r="B82" s="86" t="s">
        <v>33</v>
      </c>
      <c r="C82" s="86" t="s">
        <v>1</v>
      </c>
      <c r="D82" s="86" t="s">
        <v>7</v>
      </c>
      <c r="E82" s="83">
        <v>71003</v>
      </c>
      <c r="F82" s="84" t="s">
        <v>163</v>
      </c>
      <c r="G82" s="86" t="s">
        <v>17</v>
      </c>
      <c r="H82" s="85">
        <v>121.4</v>
      </c>
      <c r="I82" s="85">
        <v>23.3</v>
      </c>
      <c r="J82" s="85">
        <f>I82-H82</f>
        <v>-98.10000000000001</v>
      </c>
      <c r="K82" s="79">
        <f t="shared" si="8"/>
        <v>-80.80724876441516</v>
      </c>
      <c r="L82" s="104" t="s">
        <v>408</v>
      </c>
    </row>
    <row r="83" spans="1:11" s="64" customFormat="1" ht="12.75">
      <c r="A83" s="77" t="s">
        <v>25</v>
      </c>
      <c r="B83" s="86" t="s">
        <v>33</v>
      </c>
      <c r="C83" s="86" t="s">
        <v>1</v>
      </c>
      <c r="D83" s="86" t="s">
        <v>46</v>
      </c>
      <c r="E83" s="86"/>
      <c r="F83" s="86"/>
      <c r="G83" s="86"/>
      <c r="H83" s="79">
        <f>H84+H106+H133</f>
        <v>14337.800000000001</v>
      </c>
      <c r="I83" s="79">
        <f>I84+I106+I133</f>
        <v>2702.9</v>
      </c>
      <c r="J83" s="79">
        <f>J84+J106+J133</f>
        <v>-11634.900000000001</v>
      </c>
      <c r="K83" s="79">
        <f t="shared" si="8"/>
        <v>-81.1484328139603</v>
      </c>
    </row>
    <row r="84" spans="1:11" s="64" customFormat="1" ht="25.5">
      <c r="A84" s="80" t="s">
        <v>305</v>
      </c>
      <c r="B84" s="86" t="s">
        <v>33</v>
      </c>
      <c r="C84" s="86" t="s">
        <v>1</v>
      </c>
      <c r="D84" s="86" t="s">
        <v>46</v>
      </c>
      <c r="E84" s="83">
        <v>71000</v>
      </c>
      <c r="F84" s="82" t="s">
        <v>141</v>
      </c>
      <c r="G84" s="86"/>
      <c r="H84" s="79">
        <f>H85+H94+H98+H102</f>
        <v>12904.900000000001</v>
      </c>
      <c r="I84" s="79">
        <f>I85+I94+I98+I102</f>
        <v>2408</v>
      </c>
      <c r="J84" s="79">
        <f>J85+J94+J98+J102</f>
        <v>-10496.900000000001</v>
      </c>
      <c r="K84" s="79">
        <f t="shared" si="8"/>
        <v>-81.34042108036482</v>
      </c>
    </row>
    <row r="85" spans="1:11" s="64" customFormat="1" ht="25.5">
      <c r="A85" s="80" t="s">
        <v>142</v>
      </c>
      <c r="B85" s="86" t="s">
        <v>33</v>
      </c>
      <c r="C85" s="86" t="s">
        <v>1</v>
      </c>
      <c r="D85" s="86" t="s">
        <v>46</v>
      </c>
      <c r="E85" s="83">
        <v>71001</v>
      </c>
      <c r="F85" s="82" t="s">
        <v>141</v>
      </c>
      <c r="G85" s="86"/>
      <c r="H85" s="79">
        <f>H86</f>
        <v>12025</v>
      </c>
      <c r="I85" s="79">
        <f>I86</f>
        <v>2339.8</v>
      </c>
      <c r="J85" s="79">
        <f>J86</f>
        <v>-9685.2</v>
      </c>
      <c r="K85" s="79">
        <f t="shared" si="8"/>
        <v>-80.54220374220374</v>
      </c>
    </row>
    <row r="86" spans="1:11" s="64" customFormat="1" ht="12.75">
      <c r="A86" s="80" t="s">
        <v>143</v>
      </c>
      <c r="B86" s="86" t="s">
        <v>33</v>
      </c>
      <c r="C86" s="86" t="s">
        <v>1</v>
      </c>
      <c r="D86" s="86" t="s">
        <v>46</v>
      </c>
      <c r="E86" s="83">
        <v>71001</v>
      </c>
      <c r="F86" s="84" t="s">
        <v>144</v>
      </c>
      <c r="G86" s="86"/>
      <c r="H86" s="79">
        <f>H87+H90+H92</f>
        <v>12025</v>
      </c>
      <c r="I86" s="79">
        <f>I87+I90+I92</f>
        <v>2339.8</v>
      </c>
      <c r="J86" s="79">
        <f>J87+J90+J92</f>
        <v>-9685.2</v>
      </c>
      <c r="K86" s="79">
        <f t="shared" si="8"/>
        <v>-80.54220374220374</v>
      </c>
    </row>
    <row r="87" spans="1:11" s="64" customFormat="1" ht="38.25">
      <c r="A87" s="77" t="s">
        <v>58</v>
      </c>
      <c r="B87" s="86" t="s">
        <v>33</v>
      </c>
      <c r="C87" s="86" t="s">
        <v>1</v>
      </c>
      <c r="D87" s="86" t="s">
        <v>46</v>
      </c>
      <c r="E87" s="83">
        <v>71001</v>
      </c>
      <c r="F87" s="84" t="s">
        <v>144</v>
      </c>
      <c r="G87" s="86" t="s">
        <v>57</v>
      </c>
      <c r="H87" s="79">
        <f>H88+H89</f>
        <v>5797.3</v>
      </c>
      <c r="I87" s="79">
        <f>I88+I89</f>
        <v>1275.5</v>
      </c>
      <c r="J87" s="79">
        <f>J88+J89</f>
        <v>-4521.8</v>
      </c>
      <c r="K87" s="79">
        <f t="shared" si="8"/>
        <v>-77.99837855553447</v>
      </c>
    </row>
    <row r="88" spans="1:12" s="64" customFormat="1" ht="12.75">
      <c r="A88" s="92" t="s">
        <v>77</v>
      </c>
      <c r="B88" s="86" t="s">
        <v>33</v>
      </c>
      <c r="C88" s="86" t="s">
        <v>1</v>
      </c>
      <c r="D88" s="86" t="s">
        <v>46</v>
      </c>
      <c r="E88" s="83">
        <v>71001</v>
      </c>
      <c r="F88" s="84" t="s">
        <v>144</v>
      </c>
      <c r="G88" s="86" t="s">
        <v>76</v>
      </c>
      <c r="H88" s="79">
        <v>4539.6</v>
      </c>
      <c r="I88" s="79">
        <v>1043.1</v>
      </c>
      <c r="J88" s="79">
        <f>I88-H88</f>
        <v>-3496.5000000000005</v>
      </c>
      <c r="K88" s="79">
        <f t="shared" si="8"/>
        <v>-77.02220459952419</v>
      </c>
      <c r="L88" s="104" t="s">
        <v>408</v>
      </c>
    </row>
    <row r="89" spans="1:12" s="64" customFormat="1" ht="12.75">
      <c r="A89" s="77" t="s">
        <v>60</v>
      </c>
      <c r="B89" s="86" t="s">
        <v>33</v>
      </c>
      <c r="C89" s="86" t="s">
        <v>1</v>
      </c>
      <c r="D89" s="86" t="s">
        <v>46</v>
      </c>
      <c r="E89" s="83">
        <v>71001</v>
      </c>
      <c r="F89" s="84" t="s">
        <v>144</v>
      </c>
      <c r="G89" s="86" t="s">
        <v>59</v>
      </c>
      <c r="H89" s="79">
        <v>1257.7</v>
      </c>
      <c r="I89" s="79">
        <v>232.4</v>
      </c>
      <c r="J89" s="79">
        <f>I89-H89</f>
        <v>-1025.3</v>
      </c>
      <c r="K89" s="79">
        <f t="shared" si="8"/>
        <v>-81.52182555458377</v>
      </c>
      <c r="L89" s="104" t="s">
        <v>408</v>
      </c>
    </row>
    <row r="90" spans="1:11" s="64" customFormat="1" ht="12.75">
      <c r="A90" s="77" t="s">
        <v>62</v>
      </c>
      <c r="B90" s="86" t="s">
        <v>33</v>
      </c>
      <c r="C90" s="86" t="s">
        <v>1</v>
      </c>
      <c r="D90" s="86" t="s">
        <v>46</v>
      </c>
      <c r="E90" s="83">
        <v>71001</v>
      </c>
      <c r="F90" s="84" t="s">
        <v>144</v>
      </c>
      <c r="G90" s="86" t="s">
        <v>61</v>
      </c>
      <c r="H90" s="79">
        <f>H91</f>
        <v>6023.2</v>
      </c>
      <c r="I90" s="79">
        <f>I91</f>
        <v>1020</v>
      </c>
      <c r="J90" s="79">
        <f>J91</f>
        <v>-5003.2</v>
      </c>
      <c r="K90" s="79">
        <f t="shared" si="8"/>
        <v>-83.06548014344534</v>
      </c>
    </row>
    <row r="91" spans="1:12" s="64" customFormat="1" ht="25.5">
      <c r="A91" s="77" t="s">
        <v>63</v>
      </c>
      <c r="B91" s="86" t="s">
        <v>33</v>
      </c>
      <c r="C91" s="86" t="s">
        <v>1</v>
      </c>
      <c r="D91" s="86" t="s">
        <v>46</v>
      </c>
      <c r="E91" s="83">
        <v>71001</v>
      </c>
      <c r="F91" s="84" t="s">
        <v>144</v>
      </c>
      <c r="G91" s="86" t="s">
        <v>17</v>
      </c>
      <c r="H91" s="79">
        <f>6000.9+22.3</f>
        <v>6023.2</v>
      </c>
      <c r="I91" s="79">
        <v>1020</v>
      </c>
      <c r="J91" s="79">
        <f>I91-H91</f>
        <v>-5003.2</v>
      </c>
      <c r="K91" s="79">
        <f t="shared" si="8"/>
        <v>-83.06548014344534</v>
      </c>
      <c r="L91" s="104" t="s">
        <v>408</v>
      </c>
    </row>
    <row r="92" spans="1:11" s="64" customFormat="1" ht="12.75">
      <c r="A92" s="77" t="s">
        <v>66</v>
      </c>
      <c r="B92" s="86" t="s">
        <v>33</v>
      </c>
      <c r="C92" s="86" t="s">
        <v>1</v>
      </c>
      <c r="D92" s="86" t="s">
        <v>46</v>
      </c>
      <c r="E92" s="83">
        <v>71001</v>
      </c>
      <c r="F92" s="84" t="s">
        <v>144</v>
      </c>
      <c r="G92" s="86" t="s">
        <v>64</v>
      </c>
      <c r="H92" s="79">
        <f>H93</f>
        <v>204.5</v>
      </c>
      <c r="I92" s="79">
        <f>I93</f>
        <v>44.3</v>
      </c>
      <c r="J92" s="79">
        <f>J93</f>
        <v>-160.2</v>
      </c>
      <c r="K92" s="79">
        <f t="shared" si="8"/>
        <v>-78.33740831295844</v>
      </c>
    </row>
    <row r="93" spans="1:12" s="64" customFormat="1" ht="12.75">
      <c r="A93" s="77" t="s">
        <v>67</v>
      </c>
      <c r="B93" s="86" t="s">
        <v>33</v>
      </c>
      <c r="C93" s="86" t="s">
        <v>1</v>
      </c>
      <c r="D93" s="86" t="s">
        <v>46</v>
      </c>
      <c r="E93" s="83">
        <v>71001</v>
      </c>
      <c r="F93" s="84" t="s">
        <v>144</v>
      </c>
      <c r="G93" s="86" t="s">
        <v>65</v>
      </c>
      <c r="H93" s="79">
        <v>204.5</v>
      </c>
      <c r="I93" s="79">
        <v>44.3</v>
      </c>
      <c r="J93" s="79">
        <f>I93-H93</f>
        <v>-160.2</v>
      </c>
      <c r="K93" s="79">
        <f t="shared" si="8"/>
        <v>-78.33740831295844</v>
      </c>
      <c r="L93" s="104" t="s">
        <v>408</v>
      </c>
    </row>
    <row r="94" spans="1:11" s="64" customFormat="1" ht="12.75">
      <c r="A94" s="80" t="s">
        <v>313</v>
      </c>
      <c r="B94" s="86" t="s">
        <v>33</v>
      </c>
      <c r="C94" s="86" t="s">
        <v>1</v>
      </c>
      <c r="D94" s="86" t="s">
        <v>46</v>
      </c>
      <c r="E94" s="83">
        <v>71005</v>
      </c>
      <c r="F94" s="82" t="s">
        <v>141</v>
      </c>
      <c r="G94" s="86"/>
      <c r="H94" s="79">
        <f aca="true" t="shared" si="10" ref="H94:J96">H95</f>
        <v>246.7</v>
      </c>
      <c r="I94" s="79">
        <f t="shared" si="10"/>
        <v>0</v>
      </c>
      <c r="J94" s="79">
        <f t="shared" si="10"/>
        <v>-246.7</v>
      </c>
      <c r="K94" s="79">
        <f t="shared" si="8"/>
        <v>-100</v>
      </c>
    </row>
    <row r="95" spans="1:11" s="64" customFormat="1" ht="12.75">
      <c r="A95" s="80" t="s">
        <v>314</v>
      </c>
      <c r="B95" s="86" t="s">
        <v>33</v>
      </c>
      <c r="C95" s="86" t="s">
        <v>1</v>
      </c>
      <c r="D95" s="86" t="s">
        <v>46</v>
      </c>
      <c r="E95" s="83">
        <v>71005</v>
      </c>
      <c r="F95" s="82" t="s">
        <v>144</v>
      </c>
      <c r="G95" s="86"/>
      <c r="H95" s="79">
        <f t="shared" si="10"/>
        <v>246.7</v>
      </c>
      <c r="I95" s="79">
        <f t="shared" si="10"/>
        <v>0</v>
      </c>
      <c r="J95" s="79">
        <f t="shared" si="10"/>
        <v>-246.7</v>
      </c>
      <c r="K95" s="79">
        <f t="shared" si="8"/>
        <v>-100</v>
      </c>
    </row>
    <row r="96" spans="1:11" s="64" customFormat="1" ht="12.75">
      <c r="A96" s="77" t="s">
        <v>62</v>
      </c>
      <c r="B96" s="86" t="s">
        <v>33</v>
      </c>
      <c r="C96" s="86" t="s">
        <v>1</v>
      </c>
      <c r="D96" s="86" t="s">
        <v>46</v>
      </c>
      <c r="E96" s="83">
        <v>71005</v>
      </c>
      <c r="F96" s="82" t="s">
        <v>144</v>
      </c>
      <c r="G96" s="86" t="s">
        <v>61</v>
      </c>
      <c r="H96" s="79">
        <f t="shared" si="10"/>
        <v>246.7</v>
      </c>
      <c r="I96" s="79">
        <f t="shared" si="10"/>
        <v>0</v>
      </c>
      <c r="J96" s="79">
        <f t="shared" si="10"/>
        <v>-246.7</v>
      </c>
      <c r="K96" s="79">
        <f t="shared" si="8"/>
        <v>-100</v>
      </c>
    </row>
    <row r="97" spans="1:12" s="64" customFormat="1" ht="25.5">
      <c r="A97" s="77" t="s">
        <v>63</v>
      </c>
      <c r="B97" s="86" t="s">
        <v>33</v>
      </c>
      <c r="C97" s="86" t="s">
        <v>1</v>
      </c>
      <c r="D97" s="86" t="s">
        <v>46</v>
      </c>
      <c r="E97" s="83">
        <v>71005</v>
      </c>
      <c r="F97" s="82" t="s">
        <v>144</v>
      </c>
      <c r="G97" s="86" t="s">
        <v>17</v>
      </c>
      <c r="H97" s="85">
        <v>246.7</v>
      </c>
      <c r="I97" s="85">
        <v>0</v>
      </c>
      <c r="J97" s="85">
        <f>I97-H97</f>
        <v>-246.7</v>
      </c>
      <c r="K97" s="79">
        <f t="shared" si="8"/>
        <v>-100</v>
      </c>
      <c r="L97" s="104" t="s">
        <v>408</v>
      </c>
    </row>
    <row r="98" spans="1:11" s="64" customFormat="1" ht="12.75">
      <c r="A98" s="80" t="s">
        <v>315</v>
      </c>
      <c r="B98" s="86" t="s">
        <v>33</v>
      </c>
      <c r="C98" s="86" t="s">
        <v>1</v>
      </c>
      <c r="D98" s="86" t="s">
        <v>46</v>
      </c>
      <c r="E98" s="83">
        <v>71007</v>
      </c>
      <c r="F98" s="82" t="s">
        <v>141</v>
      </c>
      <c r="G98" s="86"/>
      <c r="H98" s="79">
        <f aca="true" t="shared" si="11" ref="H98:J100">H99</f>
        <v>79.1</v>
      </c>
      <c r="I98" s="79">
        <f t="shared" si="11"/>
        <v>0</v>
      </c>
      <c r="J98" s="79">
        <f t="shared" si="11"/>
        <v>-79.1</v>
      </c>
      <c r="K98" s="79">
        <f t="shared" si="8"/>
        <v>-100</v>
      </c>
    </row>
    <row r="99" spans="1:11" s="64" customFormat="1" ht="12.75">
      <c r="A99" s="80" t="s">
        <v>316</v>
      </c>
      <c r="B99" s="86" t="s">
        <v>33</v>
      </c>
      <c r="C99" s="86" t="s">
        <v>1</v>
      </c>
      <c r="D99" s="86" t="s">
        <v>46</v>
      </c>
      <c r="E99" s="83">
        <v>71007</v>
      </c>
      <c r="F99" s="82" t="s">
        <v>144</v>
      </c>
      <c r="G99" s="86"/>
      <c r="H99" s="79">
        <f t="shared" si="11"/>
        <v>79.1</v>
      </c>
      <c r="I99" s="79">
        <f t="shared" si="11"/>
        <v>0</v>
      </c>
      <c r="J99" s="79">
        <f t="shared" si="11"/>
        <v>-79.1</v>
      </c>
      <c r="K99" s="79">
        <f t="shared" si="8"/>
        <v>-100</v>
      </c>
    </row>
    <row r="100" spans="1:11" s="64" customFormat="1" ht="12.75">
      <c r="A100" s="77" t="s">
        <v>62</v>
      </c>
      <c r="B100" s="86" t="s">
        <v>33</v>
      </c>
      <c r="C100" s="86" t="s">
        <v>1</v>
      </c>
      <c r="D100" s="86" t="s">
        <v>46</v>
      </c>
      <c r="E100" s="83">
        <v>71007</v>
      </c>
      <c r="F100" s="82" t="s">
        <v>144</v>
      </c>
      <c r="G100" s="86" t="s">
        <v>61</v>
      </c>
      <c r="H100" s="79">
        <f t="shared" si="11"/>
        <v>79.1</v>
      </c>
      <c r="I100" s="79">
        <f t="shared" si="11"/>
        <v>0</v>
      </c>
      <c r="J100" s="79">
        <f t="shared" si="11"/>
        <v>-79.1</v>
      </c>
      <c r="K100" s="79">
        <f t="shared" si="8"/>
        <v>-100</v>
      </c>
    </row>
    <row r="101" spans="1:12" s="64" customFormat="1" ht="25.5">
      <c r="A101" s="77" t="s">
        <v>63</v>
      </c>
      <c r="B101" s="86" t="s">
        <v>33</v>
      </c>
      <c r="C101" s="86" t="s">
        <v>1</v>
      </c>
      <c r="D101" s="86" t="s">
        <v>46</v>
      </c>
      <c r="E101" s="83">
        <v>71007</v>
      </c>
      <c r="F101" s="82" t="s">
        <v>144</v>
      </c>
      <c r="G101" s="86" t="s">
        <v>17</v>
      </c>
      <c r="H101" s="85">
        <v>79.1</v>
      </c>
      <c r="I101" s="85">
        <v>0</v>
      </c>
      <c r="J101" s="85">
        <f>I101-H101</f>
        <v>-79.1</v>
      </c>
      <c r="K101" s="79">
        <f t="shared" si="8"/>
        <v>-100</v>
      </c>
      <c r="L101" s="104" t="s">
        <v>408</v>
      </c>
    </row>
    <row r="102" spans="1:11" s="64" customFormat="1" ht="25.5">
      <c r="A102" s="77" t="s">
        <v>317</v>
      </c>
      <c r="B102" s="86" t="s">
        <v>33</v>
      </c>
      <c r="C102" s="86" t="s">
        <v>1</v>
      </c>
      <c r="D102" s="86" t="s">
        <v>46</v>
      </c>
      <c r="E102" s="81">
        <v>71008</v>
      </c>
      <c r="F102" s="82" t="s">
        <v>141</v>
      </c>
      <c r="G102" s="86"/>
      <c r="H102" s="79">
        <f aca="true" t="shared" si="12" ref="H102:J104">H103</f>
        <v>554.1</v>
      </c>
      <c r="I102" s="79">
        <f t="shared" si="12"/>
        <v>68.2</v>
      </c>
      <c r="J102" s="79">
        <f t="shared" si="12"/>
        <v>-485.90000000000003</v>
      </c>
      <c r="K102" s="79">
        <f t="shared" si="8"/>
        <v>-87.69175239126511</v>
      </c>
    </row>
    <row r="103" spans="1:11" s="64" customFormat="1" ht="25.5">
      <c r="A103" s="77" t="s">
        <v>318</v>
      </c>
      <c r="B103" s="86" t="s">
        <v>33</v>
      </c>
      <c r="C103" s="86" t="s">
        <v>1</v>
      </c>
      <c r="D103" s="86" t="s">
        <v>46</v>
      </c>
      <c r="E103" s="81">
        <v>71008</v>
      </c>
      <c r="F103" s="93">
        <v>72300</v>
      </c>
      <c r="G103" s="86"/>
      <c r="H103" s="79">
        <f t="shared" si="12"/>
        <v>554.1</v>
      </c>
      <c r="I103" s="79">
        <f t="shared" si="12"/>
        <v>68.2</v>
      </c>
      <c r="J103" s="79">
        <f t="shared" si="12"/>
        <v>-485.90000000000003</v>
      </c>
      <c r="K103" s="79">
        <f t="shared" si="8"/>
        <v>-87.69175239126511</v>
      </c>
    </row>
    <row r="104" spans="1:11" s="64" customFormat="1" ht="38.25">
      <c r="A104" s="77" t="s">
        <v>58</v>
      </c>
      <c r="B104" s="86" t="s">
        <v>33</v>
      </c>
      <c r="C104" s="86" t="s">
        <v>1</v>
      </c>
      <c r="D104" s="86" t="s">
        <v>46</v>
      </c>
      <c r="E104" s="81">
        <v>71008</v>
      </c>
      <c r="F104" s="93">
        <v>72300</v>
      </c>
      <c r="G104" s="86" t="s">
        <v>57</v>
      </c>
      <c r="H104" s="79">
        <f t="shared" si="12"/>
        <v>554.1</v>
      </c>
      <c r="I104" s="79">
        <f t="shared" si="12"/>
        <v>68.2</v>
      </c>
      <c r="J104" s="79">
        <f t="shared" si="12"/>
        <v>-485.90000000000003</v>
      </c>
      <c r="K104" s="79">
        <f t="shared" si="8"/>
        <v>-87.69175239126511</v>
      </c>
    </row>
    <row r="105" spans="1:12" s="64" customFormat="1" ht="12.75">
      <c r="A105" s="77" t="s">
        <v>77</v>
      </c>
      <c r="B105" s="86" t="s">
        <v>33</v>
      </c>
      <c r="C105" s="86" t="s">
        <v>1</v>
      </c>
      <c r="D105" s="86" t="s">
        <v>46</v>
      </c>
      <c r="E105" s="81">
        <v>71008</v>
      </c>
      <c r="F105" s="93">
        <v>72300</v>
      </c>
      <c r="G105" s="86" t="s">
        <v>76</v>
      </c>
      <c r="H105" s="85">
        <f>554.1</f>
        <v>554.1</v>
      </c>
      <c r="I105" s="85">
        <v>68.2</v>
      </c>
      <c r="J105" s="85">
        <f>I105-H105</f>
        <v>-485.90000000000003</v>
      </c>
      <c r="K105" s="79">
        <f t="shared" si="8"/>
        <v>-87.69175239126511</v>
      </c>
      <c r="L105" s="104" t="s">
        <v>408</v>
      </c>
    </row>
    <row r="106" spans="1:11" s="64" customFormat="1" ht="25.5">
      <c r="A106" s="77" t="s">
        <v>319</v>
      </c>
      <c r="B106" s="86" t="s">
        <v>33</v>
      </c>
      <c r="C106" s="86" t="s">
        <v>1</v>
      </c>
      <c r="D106" s="86" t="s">
        <v>46</v>
      </c>
      <c r="E106" s="83">
        <v>74000</v>
      </c>
      <c r="F106" s="82" t="s">
        <v>141</v>
      </c>
      <c r="G106" s="86"/>
      <c r="H106" s="79">
        <f>H107+H117+H125+H121+H129+H113</f>
        <v>1193</v>
      </c>
      <c r="I106" s="79">
        <f>I107+I117+I125+I121+I129+I113</f>
        <v>55</v>
      </c>
      <c r="J106" s="79">
        <f>J107+J117+J125+J121+J129+J113</f>
        <v>-1138</v>
      </c>
      <c r="K106" s="79">
        <f t="shared" si="8"/>
        <v>-95.38977367979882</v>
      </c>
    </row>
    <row r="107" spans="1:11" s="64" customFormat="1" ht="38.25">
      <c r="A107" s="94" t="s">
        <v>164</v>
      </c>
      <c r="B107" s="86" t="s">
        <v>33</v>
      </c>
      <c r="C107" s="86" t="s">
        <v>1</v>
      </c>
      <c r="D107" s="86" t="s">
        <v>46</v>
      </c>
      <c r="E107" s="83">
        <v>74002</v>
      </c>
      <c r="F107" s="82" t="s">
        <v>141</v>
      </c>
      <c r="G107" s="86"/>
      <c r="H107" s="79">
        <f>H108</f>
        <v>64.2</v>
      </c>
      <c r="I107" s="79">
        <f>I108</f>
        <v>0</v>
      </c>
      <c r="J107" s="79">
        <f>J108</f>
        <v>-64.2</v>
      </c>
      <c r="K107" s="79">
        <f t="shared" si="8"/>
        <v>-100</v>
      </c>
    </row>
    <row r="108" spans="1:11" s="64" customFormat="1" ht="25.5">
      <c r="A108" s="94" t="s">
        <v>165</v>
      </c>
      <c r="B108" s="86" t="s">
        <v>33</v>
      </c>
      <c r="C108" s="86" t="s">
        <v>1</v>
      </c>
      <c r="D108" s="86" t="s">
        <v>46</v>
      </c>
      <c r="E108" s="83">
        <v>74002</v>
      </c>
      <c r="F108" s="83">
        <v>99050</v>
      </c>
      <c r="G108" s="86"/>
      <c r="H108" s="79">
        <f>H109+H111</f>
        <v>64.2</v>
      </c>
      <c r="I108" s="79">
        <f>I109+I111</f>
        <v>0</v>
      </c>
      <c r="J108" s="79">
        <f>J109+J111</f>
        <v>-64.2</v>
      </c>
      <c r="K108" s="79">
        <f t="shared" si="8"/>
        <v>-100</v>
      </c>
    </row>
    <row r="109" spans="1:11" s="64" customFormat="1" ht="12.75">
      <c r="A109" s="77" t="s">
        <v>62</v>
      </c>
      <c r="B109" s="86" t="s">
        <v>33</v>
      </c>
      <c r="C109" s="86" t="s">
        <v>1</v>
      </c>
      <c r="D109" s="86" t="s">
        <v>46</v>
      </c>
      <c r="E109" s="83">
        <v>74002</v>
      </c>
      <c r="F109" s="83">
        <v>99050</v>
      </c>
      <c r="G109" s="86" t="s">
        <v>61</v>
      </c>
      <c r="H109" s="79">
        <f>H110</f>
        <v>32</v>
      </c>
      <c r="I109" s="79">
        <f>I110</f>
        <v>0</v>
      </c>
      <c r="J109" s="79">
        <f>J110</f>
        <v>-32</v>
      </c>
      <c r="K109" s="79">
        <f t="shared" si="8"/>
        <v>-100</v>
      </c>
    </row>
    <row r="110" spans="1:12" s="64" customFormat="1" ht="25.5">
      <c r="A110" s="77" t="s">
        <v>63</v>
      </c>
      <c r="B110" s="86" t="s">
        <v>33</v>
      </c>
      <c r="C110" s="86" t="s">
        <v>1</v>
      </c>
      <c r="D110" s="86" t="s">
        <v>46</v>
      </c>
      <c r="E110" s="83">
        <v>74002</v>
      </c>
      <c r="F110" s="83">
        <v>99050</v>
      </c>
      <c r="G110" s="86" t="s">
        <v>17</v>
      </c>
      <c r="H110" s="85">
        <v>32</v>
      </c>
      <c r="I110" s="85">
        <v>0</v>
      </c>
      <c r="J110" s="85">
        <f>I110-H110</f>
        <v>-32</v>
      </c>
      <c r="K110" s="79">
        <f t="shared" si="8"/>
        <v>-100</v>
      </c>
      <c r="L110" s="104" t="s">
        <v>408</v>
      </c>
    </row>
    <row r="111" spans="1:11" s="64" customFormat="1" ht="12.75">
      <c r="A111" s="77" t="s">
        <v>66</v>
      </c>
      <c r="B111" s="86" t="s">
        <v>33</v>
      </c>
      <c r="C111" s="86" t="s">
        <v>1</v>
      </c>
      <c r="D111" s="86" t="s">
        <v>46</v>
      </c>
      <c r="E111" s="83">
        <v>74002</v>
      </c>
      <c r="F111" s="83">
        <v>99050</v>
      </c>
      <c r="G111" s="86" t="s">
        <v>64</v>
      </c>
      <c r="H111" s="79">
        <f>H112</f>
        <v>32.2</v>
      </c>
      <c r="I111" s="79">
        <f>I112</f>
        <v>0</v>
      </c>
      <c r="J111" s="79">
        <f>J112</f>
        <v>-32.2</v>
      </c>
      <c r="K111" s="79">
        <f t="shared" si="8"/>
        <v>-100</v>
      </c>
    </row>
    <row r="112" spans="1:12" s="64" customFormat="1" ht="12.75">
      <c r="A112" s="77" t="s">
        <v>67</v>
      </c>
      <c r="B112" s="86" t="s">
        <v>33</v>
      </c>
      <c r="C112" s="86" t="s">
        <v>1</v>
      </c>
      <c r="D112" s="86" t="s">
        <v>46</v>
      </c>
      <c r="E112" s="83">
        <v>74002</v>
      </c>
      <c r="F112" s="83">
        <v>99050</v>
      </c>
      <c r="G112" s="86" t="s">
        <v>65</v>
      </c>
      <c r="H112" s="85">
        <v>32.2</v>
      </c>
      <c r="I112" s="85">
        <v>0</v>
      </c>
      <c r="J112" s="85">
        <f>I112-H112</f>
        <v>-32.2</v>
      </c>
      <c r="K112" s="79">
        <f t="shared" si="8"/>
        <v>-100</v>
      </c>
      <c r="L112" s="104" t="s">
        <v>408</v>
      </c>
    </row>
    <row r="113" spans="1:11" s="64" customFormat="1" ht="25.5">
      <c r="A113" s="77" t="s">
        <v>320</v>
      </c>
      <c r="B113" s="86" t="s">
        <v>33</v>
      </c>
      <c r="C113" s="86" t="s">
        <v>1</v>
      </c>
      <c r="D113" s="86" t="s">
        <v>46</v>
      </c>
      <c r="E113" s="83">
        <v>74003</v>
      </c>
      <c r="F113" s="82" t="s">
        <v>141</v>
      </c>
      <c r="G113" s="86"/>
      <c r="H113" s="85">
        <f aca="true" t="shared" si="13" ref="H113:J115">H114</f>
        <v>300</v>
      </c>
      <c r="I113" s="85">
        <f t="shared" si="13"/>
        <v>0</v>
      </c>
      <c r="J113" s="85">
        <f t="shared" si="13"/>
        <v>-300</v>
      </c>
      <c r="K113" s="79">
        <f t="shared" si="8"/>
        <v>-100</v>
      </c>
    </row>
    <row r="114" spans="1:11" s="64" customFormat="1" ht="12.75">
      <c r="A114" s="77" t="s">
        <v>321</v>
      </c>
      <c r="B114" s="86" t="s">
        <v>33</v>
      </c>
      <c r="C114" s="86" t="s">
        <v>1</v>
      </c>
      <c r="D114" s="86" t="s">
        <v>46</v>
      </c>
      <c r="E114" s="83">
        <v>74003</v>
      </c>
      <c r="F114" s="83">
        <v>99050</v>
      </c>
      <c r="G114" s="86"/>
      <c r="H114" s="85">
        <f t="shared" si="13"/>
        <v>300</v>
      </c>
      <c r="I114" s="85">
        <f t="shared" si="13"/>
        <v>0</v>
      </c>
      <c r="J114" s="85">
        <f t="shared" si="13"/>
        <v>-300</v>
      </c>
      <c r="K114" s="79">
        <f t="shared" si="8"/>
        <v>-100</v>
      </c>
    </row>
    <row r="115" spans="1:11" s="64" customFormat="1" ht="12.75">
      <c r="A115" s="77" t="s">
        <v>62</v>
      </c>
      <c r="B115" s="86" t="s">
        <v>33</v>
      </c>
      <c r="C115" s="86" t="s">
        <v>1</v>
      </c>
      <c r="D115" s="86" t="s">
        <v>46</v>
      </c>
      <c r="E115" s="83">
        <v>74003</v>
      </c>
      <c r="F115" s="83">
        <v>99050</v>
      </c>
      <c r="G115" s="86" t="s">
        <v>61</v>
      </c>
      <c r="H115" s="85">
        <f t="shared" si="13"/>
        <v>300</v>
      </c>
      <c r="I115" s="85">
        <f t="shared" si="13"/>
        <v>0</v>
      </c>
      <c r="J115" s="85">
        <f t="shared" si="13"/>
        <v>-300</v>
      </c>
      <c r="K115" s="79">
        <f t="shared" si="8"/>
        <v>-100</v>
      </c>
    </row>
    <row r="116" spans="1:12" s="64" customFormat="1" ht="25.5">
      <c r="A116" s="77" t="s">
        <v>63</v>
      </c>
      <c r="B116" s="86" t="s">
        <v>33</v>
      </c>
      <c r="C116" s="86" t="s">
        <v>1</v>
      </c>
      <c r="D116" s="86" t="s">
        <v>46</v>
      </c>
      <c r="E116" s="83">
        <v>74003</v>
      </c>
      <c r="F116" s="83">
        <v>99050</v>
      </c>
      <c r="G116" s="86" t="s">
        <v>17</v>
      </c>
      <c r="H116" s="85">
        <v>300</v>
      </c>
      <c r="I116" s="85">
        <v>0</v>
      </c>
      <c r="J116" s="85">
        <f>I116-H116</f>
        <v>-300</v>
      </c>
      <c r="K116" s="79">
        <f t="shared" si="8"/>
        <v>-100</v>
      </c>
      <c r="L116" s="104" t="s">
        <v>408</v>
      </c>
    </row>
    <row r="117" spans="1:11" s="64" customFormat="1" ht="38.25">
      <c r="A117" s="77" t="s">
        <v>322</v>
      </c>
      <c r="B117" s="86" t="s">
        <v>33</v>
      </c>
      <c r="C117" s="86" t="s">
        <v>1</v>
      </c>
      <c r="D117" s="86" t="s">
        <v>46</v>
      </c>
      <c r="E117" s="83">
        <v>74004</v>
      </c>
      <c r="F117" s="82" t="s">
        <v>141</v>
      </c>
      <c r="G117" s="86"/>
      <c r="H117" s="79">
        <f aca="true" t="shared" si="14" ref="H117:J119">H118</f>
        <v>430</v>
      </c>
      <c r="I117" s="79">
        <f t="shared" si="14"/>
        <v>55</v>
      </c>
      <c r="J117" s="79">
        <f t="shared" si="14"/>
        <v>-375</v>
      </c>
      <c r="K117" s="79">
        <f t="shared" si="8"/>
        <v>-87.20930232558139</v>
      </c>
    </row>
    <row r="118" spans="1:11" s="64" customFormat="1" ht="38.25">
      <c r="A118" s="77" t="s">
        <v>133</v>
      </c>
      <c r="B118" s="86" t="s">
        <v>33</v>
      </c>
      <c r="C118" s="86" t="s">
        <v>1</v>
      </c>
      <c r="D118" s="86" t="s">
        <v>46</v>
      </c>
      <c r="E118" s="83">
        <v>74004</v>
      </c>
      <c r="F118" s="83">
        <v>99280</v>
      </c>
      <c r="G118" s="86"/>
      <c r="H118" s="79">
        <f t="shared" si="14"/>
        <v>430</v>
      </c>
      <c r="I118" s="79">
        <f t="shared" si="14"/>
        <v>55</v>
      </c>
      <c r="J118" s="79">
        <f t="shared" si="14"/>
        <v>-375</v>
      </c>
      <c r="K118" s="79">
        <f t="shared" si="8"/>
        <v>-87.20930232558139</v>
      </c>
    </row>
    <row r="119" spans="1:11" s="64" customFormat="1" ht="12.75">
      <c r="A119" s="77" t="s">
        <v>62</v>
      </c>
      <c r="B119" s="86" t="s">
        <v>33</v>
      </c>
      <c r="C119" s="86" t="s">
        <v>1</v>
      </c>
      <c r="D119" s="86" t="s">
        <v>46</v>
      </c>
      <c r="E119" s="83">
        <v>74004</v>
      </c>
      <c r="F119" s="83">
        <v>99280</v>
      </c>
      <c r="G119" s="86" t="s">
        <v>61</v>
      </c>
      <c r="H119" s="79">
        <f t="shared" si="14"/>
        <v>430</v>
      </c>
      <c r="I119" s="79">
        <f t="shared" si="14"/>
        <v>55</v>
      </c>
      <c r="J119" s="79">
        <f t="shared" si="14"/>
        <v>-375</v>
      </c>
      <c r="K119" s="79">
        <f t="shared" si="8"/>
        <v>-87.20930232558139</v>
      </c>
    </row>
    <row r="120" spans="1:12" s="64" customFormat="1" ht="25.5">
      <c r="A120" s="77" t="s">
        <v>63</v>
      </c>
      <c r="B120" s="86" t="s">
        <v>33</v>
      </c>
      <c r="C120" s="86" t="s">
        <v>1</v>
      </c>
      <c r="D120" s="86" t="s">
        <v>46</v>
      </c>
      <c r="E120" s="83">
        <v>74004</v>
      </c>
      <c r="F120" s="83">
        <v>99280</v>
      </c>
      <c r="G120" s="86" t="s">
        <v>17</v>
      </c>
      <c r="H120" s="85">
        <v>430</v>
      </c>
      <c r="I120" s="85">
        <v>55</v>
      </c>
      <c r="J120" s="85">
        <f>I120-H120</f>
        <v>-375</v>
      </c>
      <c r="K120" s="79">
        <f t="shared" si="8"/>
        <v>-87.20930232558139</v>
      </c>
      <c r="L120" s="104" t="s">
        <v>408</v>
      </c>
    </row>
    <row r="121" spans="1:11" s="64" customFormat="1" ht="38.25">
      <c r="A121" s="94" t="s">
        <v>323</v>
      </c>
      <c r="B121" s="86" t="s">
        <v>33</v>
      </c>
      <c r="C121" s="86" t="s">
        <v>1</v>
      </c>
      <c r="D121" s="86" t="s">
        <v>46</v>
      </c>
      <c r="E121" s="83">
        <v>74006</v>
      </c>
      <c r="F121" s="82" t="s">
        <v>141</v>
      </c>
      <c r="G121" s="86"/>
      <c r="H121" s="79">
        <f aca="true" t="shared" si="15" ref="H121:J123">H122</f>
        <v>304.8</v>
      </c>
      <c r="I121" s="79">
        <f t="shared" si="15"/>
        <v>0</v>
      </c>
      <c r="J121" s="79">
        <f t="shared" si="15"/>
        <v>-304.8</v>
      </c>
      <c r="K121" s="79">
        <f t="shared" si="8"/>
        <v>-100</v>
      </c>
    </row>
    <row r="122" spans="1:11" s="64" customFormat="1" ht="25.5">
      <c r="A122" s="94" t="s">
        <v>324</v>
      </c>
      <c r="B122" s="86" t="s">
        <v>33</v>
      </c>
      <c r="C122" s="86" t="s">
        <v>1</v>
      </c>
      <c r="D122" s="86" t="s">
        <v>46</v>
      </c>
      <c r="E122" s="83">
        <v>74006</v>
      </c>
      <c r="F122" s="83">
        <v>99090</v>
      </c>
      <c r="G122" s="86"/>
      <c r="H122" s="79">
        <f t="shared" si="15"/>
        <v>304.8</v>
      </c>
      <c r="I122" s="79">
        <f t="shared" si="15"/>
        <v>0</v>
      </c>
      <c r="J122" s="79">
        <f t="shared" si="15"/>
        <v>-304.8</v>
      </c>
      <c r="K122" s="79">
        <f t="shared" si="8"/>
        <v>-100</v>
      </c>
    </row>
    <row r="123" spans="1:11" s="64" customFormat="1" ht="12.75">
      <c r="A123" s="77" t="s">
        <v>62</v>
      </c>
      <c r="B123" s="86" t="s">
        <v>33</v>
      </c>
      <c r="C123" s="86" t="s">
        <v>1</v>
      </c>
      <c r="D123" s="86" t="s">
        <v>46</v>
      </c>
      <c r="E123" s="83">
        <v>74006</v>
      </c>
      <c r="F123" s="83">
        <v>99090</v>
      </c>
      <c r="G123" s="86" t="s">
        <v>61</v>
      </c>
      <c r="H123" s="79">
        <f t="shared" si="15"/>
        <v>304.8</v>
      </c>
      <c r="I123" s="79">
        <f t="shared" si="15"/>
        <v>0</v>
      </c>
      <c r="J123" s="79">
        <f t="shared" si="15"/>
        <v>-304.8</v>
      </c>
      <c r="K123" s="79">
        <f t="shared" si="8"/>
        <v>-100</v>
      </c>
    </row>
    <row r="124" spans="1:12" s="64" customFormat="1" ht="25.5">
      <c r="A124" s="77" t="s">
        <v>63</v>
      </c>
      <c r="B124" s="86" t="s">
        <v>33</v>
      </c>
      <c r="C124" s="86" t="s">
        <v>1</v>
      </c>
      <c r="D124" s="86" t="s">
        <v>46</v>
      </c>
      <c r="E124" s="83">
        <v>74006</v>
      </c>
      <c r="F124" s="83">
        <v>99090</v>
      </c>
      <c r="G124" s="86" t="s">
        <v>17</v>
      </c>
      <c r="H124" s="85">
        <f>276+28.8</f>
        <v>304.8</v>
      </c>
      <c r="I124" s="85">
        <v>0</v>
      </c>
      <c r="J124" s="85">
        <f>I124-H124</f>
        <v>-304.8</v>
      </c>
      <c r="K124" s="79">
        <f t="shared" si="8"/>
        <v>-100</v>
      </c>
      <c r="L124" s="104" t="s">
        <v>408</v>
      </c>
    </row>
    <row r="125" spans="1:11" s="64" customFormat="1" ht="25.5">
      <c r="A125" s="77" t="s">
        <v>325</v>
      </c>
      <c r="B125" s="86" t="s">
        <v>33</v>
      </c>
      <c r="C125" s="86" t="s">
        <v>1</v>
      </c>
      <c r="D125" s="86" t="s">
        <v>46</v>
      </c>
      <c r="E125" s="83">
        <v>74008</v>
      </c>
      <c r="F125" s="82" t="s">
        <v>141</v>
      </c>
      <c r="G125" s="86"/>
      <c r="H125" s="79">
        <f aca="true" t="shared" si="16" ref="H125:J127">H126</f>
        <v>64</v>
      </c>
      <c r="I125" s="79">
        <f t="shared" si="16"/>
        <v>0</v>
      </c>
      <c r="J125" s="79">
        <f t="shared" si="16"/>
        <v>-64</v>
      </c>
      <c r="K125" s="79">
        <f t="shared" si="8"/>
        <v>-100</v>
      </c>
    </row>
    <row r="126" spans="1:11" s="64" customFormat="1" ht="25.5">
      <c r="A126" s="77" t="s">
        <v>326</v>
      </c>
      <c r="B126" s="86" t="s">
        <v>33</v>
      </c>
      <c r="C126" s="86" t="s">
        <v>1</v>
      </c>
      <c r="D126" s="86" t="s">
        <v>46</v>
      </c>
      <c r="E126" s="83">
        <v>74008</v>
      </c>
      <c r="F126" s="82" t="s">
        <v>242</v>
      </c>
      <c r="G126" s="86"/>
      <c r="H126" s="79">
        <f t="shared" si="16"/>
        <v>64</v>
      </c>
      <c r="I126" s="79">
        <f t="shared" si="16"/>
        <v>0</v>
      </c>
      <c r="J126" s="79">
        <f t="shared" si="16"/>
        <v>-64</v>
      </c>
      <c r="K126" s="79">
        <f t="shared" si="8"/>
        <v>-100</v>
      </c>
    </row>
    <row r="127" spans="1:11" s="64" customFormat="1" ht="12.75">
      <c r="A127" s="77" t="s">
        <v>62</v>
      </c>
      <c r="B127" s="86" t="s">
        <v>33</v>
      </c>
      <c r="C127" s="86" t="s">
        <v>1</v>
      </c>
      <c r="D127" s="86" t="s">
        <v>46</v>
      </c>
      <c r="E127" s="83">
        <v>74008</v>
      </c>
      <c r="F127" s="82" t="s">
        <v>242</v>
      </c>
      <c r="G127" s="86" t="s">
        <v>61</v>
      </c>
      <c r="H127" s="79">
        <f t="shared" si="16"/>
        <v>64</v>
      </c>
      <c r="I127" s="79">
        <f t="shared" si="16"/>
        <v>0</v>
      </c>
      <c r="J127" s="79">
        <f t="shared" si="16"/>
        <v>-64</v>
      </c>
      <c r="K127" s="79">
        <f t="shared" si="8"/>
        <v>-100</v>
      </c>
    </row>
    <row r="128" spans="1:12" s="64" customFormat="1" ht="25.5">
      <c r="A128" s="77" t="s">
        <v>63</v>
      </c>
      <c r="B128" s="86" t="s">
        <v>33</v>
      </c>
      <c r="C128" s="86" t="s">
        <v>1</v>
      </c>
      <c r="D128" s="86" t="s">
        <v>46</v>
      </c>
      <c r="E128" s="83">
        <v>74008</v>
      </c>
      <c r="F128" s="82" t="s">
        <v>242</v>
      </c>
      <c r="G128" s="86" t="s">
        <v>17</v>
      </c>
      <c r="H128" s="85">
        <v>64</v>
      </c>
      <c r="I128" s="85">
        <v>0</v>
      </c>
      <c r="J128" s="85">
        <f>I128-H128</f>
        <v>-64</v>
      </c>
      <c r="K128" s="79">
        <f t="shared" si="8"/>
        <v>-100</v>
      </c>
      <c r="L128" s="104" t="s">
        <v>408</v>
      </c>
    </row>
    <row r="129" spans="1:11" s="64" customFormat="1" ht="25.5">
      <c r="A129" s="77" t="s">
        <v>327</v>
      </c>
      <c r="B129" s="86" t="s">
        <v>33</v>
      </c>
      <c r="C129" s="86" t="s">
        <v>1</v>
      </c>
      <c r="D129" s="86" t="s">
        <v>46</v>
      </c>
      <c r="E129" s="83">
        <v>74011</v>
      </c>
      <c r="F129" s="82" t="s">
        <v>141</v>
      </c>
      <c r="G129" s="86"/>
      <c r="H129" s="79">
        <f aca="true" t="shared" si="17" ref="H129:J131">H130</f>
        <v>30</v>
      </c>
      <c r="I129" s="79">
        <f t="shared" si="17"/>
        <v>0</v>
      </c>
      <c r="J129" s="79">
        <f t="shared" si="17"/>
        <v>-30</v>
      </c>
      <c r="K129" s="79">
        <f t="shared" si="8"/>
        <v>-100</v>
      </c>
    </row>
    <row r="130" spans="1:11" s="64" customFormat="1" ht="25.5">
      <c r="A130" s="77" t="s">
        <v>328</v>
      </c>
      <c r="B130" s="86" t="s">
        <v>33</v>
      </c>
      <c r="C130" s="86" t="s">
        <v>1</v>
      </c>
      <c r="D130" s="86" t="s">
        <v>46</v>
      </c>
      <c r="E130" s="83">
        <v>74011</v>
      </c>
      <c r="F130" s="83">
        <v>99090</v>
      </c>
      <c r="G130" s="86"/>
      <c r="H130" s="79">
        <f t="shared" si="17"/>
        <v>30</v>
      </c>
      <c r="I130" s="79">
        <f t="shared" si="17"/>
        <v>0</v>
      </c>
      <c r="J130" s="79">
        <f t="shared" si="17"/>
        <v>-30</v>
      </c>
      <c r="K130" s="79">
        <f t="shared" si="8"/>
        <v>-100</v>
      </c>
    </row>
    <row r="131" spans="1:11" s="64" customFormat="1" ht="12.75">
      <c r="A131" s="77" t="s">
        <v>62</v>
      </c>
      <c r="B131" s="86" t="s">
        <v>33</v>
      </c>
      <c r="C131" s="86" t="s">
        <v>1</v>
      </c>
      <c r="D131" s="86" t="s">
        <v>46</v>
      </c>
      <c r="E131" s="83">
        <v>74011</v>
      </c>
      <c r="F131" s="83">
        <v>99090</v>
      </c>
      <c r="G131" s="86" t="s">
        <v>61</v>
      </c>
      <c r="H131" s="79">
        <f t="shared" si="17"/>
        <v>30</v>
      </c>
      <c r="I131" s="79">
        <f t="shared" si="17"/>
        <v>0</v>
      </c>
      <c r="J131" s="79">
        <f t="shared" si="17"/>
        <v>-30</v>
      </c>
      <c r="K131" s="79">
        <f t="shared" si="8"/>
        <v>-100</v>
      </c>
    </row>
    <row r="132" spans="1:12" s="64" customFormat="1" ht="25.5">
      <c r="A132" s="77" t="s">
        <v>63</v>
      </c>
      <c r="B132" s="86" t="s">
        <v>33</v>
      </c>
      <c r="C132" s="86" t="s">
        <v>1</v>
      </c>
      <c r="D132" s="86" t="s">
        <v>46</v>
      </c>
      <c r="E132" s="83">
        <v>74011</v>
      </c>
      <c r="F132" s="83">
        <v>99090</v>
      </c>
      <c r="G132" s="86" t="s">
        <v>17</v>
      </c>
      <c r="H132" s="79">
        <v>30</v>
      </c>
      <c r="I132" s="79">
        <v>0</v>
      </c>
      <c r="J132" s="85">
        <f>I132-H132</f>
        <v>-30</v>
      </c>
      <c r="K132" s="79">
        <f t="shared" si="8"/>
        <v>-100</v>
      </c>
      <c r="L132" s="104" t="s">
        <v>408</v>
      </c>
    </row>
    <row r="133" spans="1:11" s="64" customFormat="1" ht="12.75">
      <c r="A133" s="77" t="s">
        <v>127</v>
      </c>
      <c r="B133" s="86" t="s">
        <v>33</v>
      </c>
      <c r="C133" s="86" t="s">
        <v>1</v>
      </c>
      <c r="D133" s="86" t="s">
        <v>46</v>
      </c>
      <c r="E133" s="81">
        <v>99000</v>
      </c>
      <c r="F133" s="82" t="s">
        <v>141</v>
      </c>
      <c r="G133" s="86"/>
      <c r="H133" s="79">
        <f aca="true" t="shared" si="18" ref="H133:J136">H134</f>
        <v>239.9</v>
      </c>
      <c r="I133" s="79">
        <f t="shared" si="18"/>
        <v>239.9</v>
      </c>
      <c r="J133" s="79">
        <f t="shared" si="18"/>
        <v>0</v>
      </c>
      <c r="K133" s="79">
        <f t="shared" si="8"/>
        <v>0</v>
      </c>
    </row>
    <row r="134" spans="1:11" s="64" customFormat="1" ht="12.75">
      <c r="A134" s="77" t="s">
        <v>130</v>
      </c>
      <c r="B134" s="86" t="s">
        <v>33</v>
      </c>
      <c r="C134" s="86" t="s">
        <v>1</v>
      </c>
      <c r="D134" s="86" t="s">
        <v>46</v>
      </c>
      <c r="E134" s="81">
        <v>99300</v>
      </c>
      <c r="F134" s="82" t="s">
        <v>141</v>
      </c>
      <c r="G134" s="86"/>
      <c r="H134" s="79">
        <f>H135</f>
        <v>239.9</v>
      </c>
      <c r="I134" s="79">
        <f>I135</f>
        <v>239.9</v>
      </c>
      <c r="J134" s="79">
        <f>J135</f>
        <v>0</v>
      </c>
      <c r="K134" s="79">
        <f t="shared" si="8"/>
        <v>0</v>
      </c>
    </row>
    <row r="135" spans="1:11" s="64" customFormat="1" ht="12.75">
      <c r="A135" s="77" t="s">
        <v>329</v>
      </c>
      <c r="B135" s="86" t="s">
        <v>33</v>
      </c>
      <c r="C135" s="86" t="s">
        <v>1</v>
      </c>
      <c r="D135" s="86" t="s">
        <v>46</v>
      </c>
      <c r="E135" s="83">
        <v>99300</v>
      </c>
      <c r="F135" s="84" t="s">
        <v>144</v>
      </c>
      <c r="G135" s="86"/>
      <c r="H135" s="79">
        <f t="shared" si="18"/>
        <v>239.9</v>
      </c>
      <c r="I135" s="79">
        <f t="shared" si="18"/>
        <v>239.9</v>
      </c>
      <c r="J135" s="79">
        <f t="shared" si="18"/>
        <v>0</v>
      </c>
      <c r="K135" s="79">
        <f t="shared" si="8"/>
        <v>0</v>
      </c>
    </row>
    <row r="136" spans="1:11" s="64" customFormat="1" ht="12.75">
      <c r="A136" s="77" t="s">
        <v>66</v>
      </c>
      <c r="B136" s="86" t="s">
        <v>33</v>
      </c>
      <c r="C136" s="86" t="s">
        <v>1</v>
      </c>
      <c r="D136" s="86" t="s">
        <v>46</v>
      </c>
      <c r="E136" s="83">
        <v>99300</v>
      </c>
      <c r="F136" s="84" t="s">
        <v>144</v>
      </c>
      <c r="G136" s="86" t="s">
        <v>64</v>
      </c>
      <c r="H136" s="79">
        <f t="shared" si="18"/>
        <v>239.9</v>
      </c>
      <c r="I136" s="79">
        <f t="shared" si="18"/>
        <v>239.9</v>
      </c>
      <c r="J136" s="79">
        <f t="shared" si="18"/>
        <v>0</v>
      </c>
      <c r="K136" s="79">
        <f t="shared" si="8"/>
        <v>0</v>
      </c>
    </row>
    <row r="137" spans="1:12" s="64" customFormat="1" ht="12.75">
      <c r="A137" s="77" t="s">
        <v>330</v>
      </c>
      <c r="B137" s="86" t="s">
        <v>33</v>
      </c>
      <c r="C137" s="86" t="s">
        <v>1</v>
      </c>
      <c r="D137" s="86" t="s">
        <v>46</v>
      </c>
      <c r="E137" s="83">
        <v>99300</v>
      </c>
      <c r="F137" s="84" t="s">
        <v>144</v>
      </c>
      <c r="G137" s="86" t="s">
        <v>331</v>
      </c>
      <c r="H137" s="79">
        <v>239.9</v>
      </c>
      <c r="I137" s="79">
        <v>239.9</v>
      </c>
      <c r="J137" s="85">
        <f>I137-H137</f>
        <v>0</v>
      </c>
      <c r="K137" s="79">
        <f t="shared" si="8"/>
        <v>0</v>
      </c>
      <c r="L137" s="104" t="s">
        <v>408</v>
      </c>
    </row>
    <row r="138" spans="1:11" s="64" customFormat="1" ht="12.75">
      <c r="A138" s="77" t="s">
        <v>87</v>
      </c>
      <c r="B138" s="86" t="s">
        <v>33</v>
      </c>
      <c r="C138" s="86" t="s">
        <v>6</v>
      </c>
      <c r="D138" s="86"/>
      <c r="E138" s="86"/>
      <c r="F138" s="86"/>
      <c r="G138" s="86"/>
      <c r="H138" s="79">
        <f aca="true" t="shared" si="19" ref="H138:J143">H139</f>
        <v>166.70000000000002</v>
      </c>
      <c r="I138" s="79">
        <f t="shared" si="19"/>
        <v>30.5</v>
      </c>
      <c r="J138" s="79">
        <f t="shared" si="19"/>
        <v>-136.20000000000002</v>
      </c>
      <c r="K138" s="79">
        <f t="shared" si="8"/>
        <v>-81.70365926814637</v>
      </c>
    </row>
    <row r="139" spans="1:11" s="64" customFormat="1" ht="12.75">
      <c r="A139" s="77" t="s">
        <v>88</v>
      </c>
      <c r="B139" s="86" t="s">
        <v>33</v>
      </c>
      <c r="C139" s="86" t="s">
        <v>6</v>
      </c>
      <c r="D139" s="86" t="s">
        <v>5</v>
      </c>
      <c r="E139" s="86"/>
      <c r="F139" s="86"/>
      <c r="G139" s="86"/>
      <c r="H139" s="79">
        <f t="shared" si="19"/>
        <v>166.70000000000002</v>
      </c>
      <c r="I139" s="79">
        <f t="shared" si="19"/>
        <v>30.5</v>
      </c>
      <c r="J139" s="79">
        <f t="shared" si="19"/>
        <v>-136.20000000000002</v>
      </c>
      <c r="K139" s="79">
        <f aca="true" t="shared" si="20" ref="K139:K202">I139/H139*100-100</f>
        <v>-81.70365926814637</v>
      </c>
    </row>
    <row r="140" spans="1:11" s="64" customFormat="1" ht="25.5">
      <c r="A140" s="80" t="s">
        <v>305</v>
      </c>
      <c r="B140" s="86" t="s">
        <v>33</v>
      </c>
      <c r="C140" s="86" t="s">
        <v>6</v>
      </c>
      <c r="D140" s="86" t="s">
        <v>5</v>
      </c>
      <c r="E140" s="81">
        <v>71000</v>
      </c>
      <c r="F140" s="82" t="s">
        <v>141</v>
      </c>
      <c r="G140" s="86"/>
      <c r="H140" s="79">
        <f t="shared" si="19"/>
        <v>166.70000000000002</v>
      </c>
      <c r="I140" s="79">
        <f t="shared" si="19"/>
        <v>30.5</v>
      </c>
      <c r="J140" s="79">
        <f t="shared" si="19"/>
        <v>-136.20000000000002</v>
      </c>
      <c r="K140" s="79">
        <f t="shared" si="20"/>
        <v>-81.70365926814637</v>
      </c>
    </row>
    <row r="141" spans="1:11" s="64" customFormat="1" ht="12.75">
      <c r="A141" s="77" t="s">
        <v>148</v>
      </c>
      <c r="B141" s="86" t="s">
        <v>33</v>
      </c>
      <c r="C141" s="86" t="s">
        <v>6</v>
      </c>
      <c r="D141" s="86" t="s">
        <v>5</v>
      </c>
      <c r="E141" s="83">
        <v>71002</v>
      </c>
      <c r="F141" s="82" t="s">
        <v>141</v>
      </c>
      <c r="G141" s="86"/>
      <c r="H141" s="79">
        <f t="shared" si="19"/>
        <v>166.70000000000002</v>
      </c>
      <c r="I141" s="79">
        <f t="shared" si="19"/>
        <v>30.5</v>
      </c>
      <c r="J141" s="79">
        <f t="shared" si="19"/>
        <v>-136.20000000000002</v>
      </c>
      <c r="K141" s="79">
        <f t="shared" si="20"/>
        <v>-81.70365926814637</v>
      </c>
    </row>
    <row r="142" spans="1:11" s="64" customFormat="1" ht="25.5">
      <c r="A142" s="77" t="s">
        <v>106</v>
      </c>
      <c r="B142" s="86" t="s">
        <v>33</v>
      </c>
      <c r="C142" s="86" t="s">
        <v>6</v>
      </c>
      <c r="D142" s="86" t="s">
        <v>5</v>
      </c>
      <c r="E142" s="83">
        <v>71002</v>
      </c>
      <c r="F142" s="83">
        <v>51180</v>
      </c>
      <c r="G142" s="86"/>
      <c r="H142" s="79">
        <f t="shared" si="19"/>
        <v>166.70000000000002</v>
      </c>
      <c r="I142" s="79">
        <f t="shared" si="19"/>
        <v>30.5</v>
      </c>
      <c r="J142" s="79">
        <f t="shared" si="19"/>
        <v>-136.20000000000002</v>
      </c>
      <c r="K142" s="79">
        <f t="shared" si="20"/>
        <v>-81.70365926814637</v>
      </c>
    </row>
    <row r="143" spans="1:11" s="64" customFormat="1" ht="38.25">
      <c r="A143" s="77" t="s">
        <v>58</v>
      </c>
      <c r="B143" s="86" t="s">
        <v>33</v>
      </c>
      <c r="C143" s="86" t="s">
        <v>6</v>
      </c>
      <c r="D143" s="86" t="s">
        <v>5</v>
      </c>
      <c r="E143" s="83">
        <v>71002</v>
      </c>
      <c r="F143" s="83">
        <v>51180</v>
      </c>
      <c r="G143" s="86" t="s">
        <v>57</v>
      </c>
      <c r="H143" s="79">
        <f t="shared" si="19"/>
        <v>166.70000000000002</v>
      </c>
      <c r="I143" s="79">
        <f t="shared" si="19"/>
        <v>30.5</v>
      </c>
      <c r="J143" s="79">
        <f t="shared" si="19"/>
        <v>-136.20000000000002</v>
      </c>
      <c r="K143" s="79">
        <f t="shared" si="20"/>
        <v>-81.70365926814637</v>
      </c>
    </row>
    <row r="144" spans="1:12" s="64" customFormat="1" ht="12.75">
      <c r="A144" s="77" t="s">
        <v>60</v>
      </c>
      <c r="B144" s="86" t="s">
        <v>33</v>
      </c>
      <c r="C144" s="86" t="s">
        <v>6</v>
      </c>
      <c r="D144" s="86" t="s">
        <v>5</v>
      </c>
      <c r="E144" s="83">
        <v>71002</v>
      </c>
      <c r="F144" s="83">
        <v>51180</v>
      </c>
      <c r="G144" s="86" t="s">
        <v>59</v>
      </c>
      <c r="H144" s="91">
        <f>167.8-1.1</f>
        <v>166.70000000000002</v>
      </c>
      <c r="I144" s="91">
        <v>30.5</v>
      </c>
      <c r="J144" s="85">
        <f>I144-H144</f>
        <v>-136.20000000000002</v>
      </c>
      <c r="K144" s="79">
        <f t="shared" si="20"/>
        <v>-81.70365926814637</v>
      </c>
      <c r="L144" s="104" t="s">
        <v>408</v>
      </c>
    </row>
    <row r="145" spans="1:11" s="64" customFormat="1" ht="12.75">
      <c r="A145" s="77" t="s">
        <v>15</v>
      </c>
      <c r="B145" s="86" t="s">
        <v>33</v>
      </c>
      <c r="C145" s="86" t="s">
        <v>5</v>
      </c>
      <c r="D145" s="86"/>
      <c r="E145" s="86"/>
      <c r="F145" s="86"/>
      <c r="G145" s="86"/>
      <c r="H145" s="79">
        <f>H146+H172</f>
        <v>7942.900000000001</v>
      </c>
      <c r="I145" s="79">
        <f>I146+I172</f>
        <v>1386.6999999999998</v>
      </c>
      <c r="J145" s="79">
        <f>J146+J172</f>
        <v>-6556.200000000002</v>
      </c>
      <c r="K145" s="79">
        <f t="shared" si="20"/>
        <v>-82.54164096236892</v>
      </c>
    </row>
    <row r="146" spans="1:11" s="64" customFormat="1" ht="25.5">
      <c r="A146" s="77" t="s">
        <v>41</v>
      </c>
      <c r="B146" s="86" t="s">
        <v>33</v>
      </c>
      <c r="C146" s="86" t="s">
        <v>5</v>
      </c>
      <c r="D146" s="86" t="s">
        <v>16</v>
      </c>
      <c r="E146" s="86"/>
      <c r="F146" s="86"/>
      <c r="G146" s="86"/>
      <c r="H146" s="79">
        <f>H147</f>
        <v>7581.8</v>
      </c>
      <c r="I146" s="79">
        <f>I147</f>
        <v>1386.6999999999998</v>
      </c>
      <c r="J146" s="79">
        <f>J147</f>
        <v>-6195.100000000001</v>
      </c>
      <c r="K146" s="79">
        <f t="shared" si="20"/>
        <v>-81.7101479859664</v>
      </c>
    </row>
    <row r="147" spans="1:11" s="64" customFormat="1" ht="25.5">
      <c r="A147" s="77" t="s">
        <v>332</v>
      </c>
      <c r="B147" s="86" t="s">
        <v>33</v>
      </c>
      <c r="C147" s="86" t="s">
        <v>5</v>
      </c>
      <c r="D147" s="86" t="s">
        <v>16</v>
      </c>
      <c r="E147" s="83">
        <v>73000</v>
      </c>
      <c r="F147" s="82" t="s">
        <v>141</v>
      </c>
      <c r="G147" s="86"/>
      <c r="H147" s="79">
        <f>H152+H162+H148+H168</f>
        <v>7581.8</v>
      </c>
      <c r="I147" s="79">
        <f>I152+I162+I148+I168</f>
        <v>1386.6999999999998</v>
      </c>
      <c r="J147" s="79">
        <f>J152+J162+J148+J168</f>
        <v>-6195.100000000001</v>
      </c>
      <c r="K147" s="79">
        <f t="shared" si="20"/>
        <v>-81.7101479859664</v>
      </c>
    </row>
    <row r="148" spans="1:11" s="64" customFormat="1" ht="25.5">
      <c r="A148" s="95" t="s">
        <v>251</v>
      </c>
      <c r="B148" s="86" t="s">
        <v>33</v>
      </c>
      <c r="C148" s="86" t="s">
        <v>5</v>
      </c>
      <c r="D148" s="86" t="s">
        <v>16</v>
      </c>
      <c r="E148" s="83">
        <v>73002</v>
      </c>
      <c r="F148" s="82" t="s">
        <v>141</v>
      </c>
      <c r="G148" s="86"/>
      <c r="H148" s="79">
        <f aca="true" t="shared" si="21" ref="H148:J150">H149</f>
        <v>42.6</v>
      </c>
      <c r="I148" s="79">
        <f t="shared" si="21"/>
        <v>0</v>
      </c>
      <c r="J148" s="79">
        <f t="shared" si="21"/>
        <v>-42.6</v>
      </c>
      <c r="K148" s="79">
        <f t="shared" si="20"/>
        <v>-100</v>
      </c>
    </row>
    <row r="149" spans="1:11" s="64" customFormat="1" ht="37.5" customHeight="1">
      <c r="A149" s="95" t="s">
        <v>333</v>
      </c>
      <c r="B149" s="86" t="s">
        <v>33</v>
      </c>
      <c r="C149" s="86" t="s">
        <v>5</v>
      </c>
      <c r="D149" s="86" t="s">
        <v>16</v>
      </c>
      <c r="E149" s="83">
        <v>73002</v>
      </c>
      <c r="F149" s="82" t="s">
        <v>253</v>
      </c>
      <c r="G149" s="86"/>
      <c r="H149" s="79">
        <f t="shared" si="21"/>
        <v>42.6</v>
      </c>
      <c r="I149" s="79">
        <f t="shared" si="21"/>
        <v>0</v>
      </c>
      <c r="J149" s="79">
        <f t="shared" si="21"/>
        <v>-42.6</v>
      </c>
      <c r="K149" s="79">
        <f t="shared" si="20"/>
        <v>-100</v>
      </c>
    </row>
    <row r="150" spans="1:11" s="64" customFormat="1" ht="12.75">
      <c r="A150" s="77" t="s">
        <v>62</v>
      </c>
      <c r="B150" s="86" t="s">
        <v>33</v>
      </c>
      <c r="C150" s="86" t="s">
        <v>5</v>
      </c>
      <c r="D150" s="86" t="s">
        <v>16</v>
      </c>
      <c r="E150" s="83">
        <v>73002</v>
      </c>
      <c r="F150" s="82" t="s">
        <v>253</v>
      </c>
      <c r="G150" s="86" t="s">
        <v>61</v>
      </c>
      <c r="H150" s="79">
        <f t="shared" si="21"/>
        <v>42.6</v>
      </c>
      <c r="I150" s="79">
        <f t="shared" si="21"/>
        <v>0</v>
      </c>
      <c r="J150" s="79">
        <f t="shared" si="21"/>
        <v>-42.6</v>
      </c>
      <c r="K150" s="79">
        <f t="shared" si="20"/>
        <v>-100</v>
      </c>
    </row>
    <row r="151" spans="1:12" s="64" customFormat="1" ht="25.5">
      <c r="A151" s="77" t="s">
        <v>63</v>
      </c>
      <c r="B151" s="86" t="s">
        <v>33</v>
      </c>
      <c r="C151" s="86" t="s">
        <v>5</v>
      </c>
      <c r="D151" s="86" t="s">
        <v>16</v>
      </c>
      <c r="E151" s="83">
        <v>73002</v>
      </c>
      <c r="F151" s="82" t="s">
        <v>253</v>
      </c>
      <c r="G151" s="86" t="s">
        <v>17</v>
      </c>
      <c r="H151" s="79">
        <v>42.6</v>
      </c>
      <c r="I151" s="79">
        <v>0</v>
      </c>
      <c r="J151" s="85">
        <f>I151-H151</f>
        <v>-42.6</v>
      </c>
      <c r="K151" s="79">
        <f t="shared" si="20"/>
        <v>-100</v>
      </c>
      <c r="L151" s="104" t="s">
        <v>408</v>
      </c>
    </row>
    <row r="152" spans="1:11" s="64" customFormat="1" ht="25.5">
      <c r="A152" s="77" t="s">
        <v>168</v>
      </c>
      <c r="B152" s="86" t="s">
        <v>33</v>
      </c>
      <c r="C152" s="86" t="s">
        <v>5</v>
      </c>
      <c r="D152" s="86" t="s">
        <v>16</v>
      </c>
      <c r="E152" s="83">
        <v>73005</v>
      </c>
      <c r="F152" s="82" t="s">
        <v>141</v>
      </c>
      <c r="G152" s="86"/>
      <c r="H152" s="79">
        <f>H153</f>
        <v>7297.499999999999</v>
      </c>
      <c r="I152" s="79">
        <f>I153</f>
        <v>1353.6</v>
      </c>
      <c r="J152" s="79">
        <f>J153</f>
        <v>-5943.900000000001</v>
      </c>
      <c r="K152" s="79">
        <f t="shared" si="20"/>
        <v>-81.45118191161356</v>
      </c>
    </row>
    <row r="153" spans="1:11" s="64" customFormat="1" ht="25.5">
      <c r="A153" s="77" t="s">
        <v>169</v>
      </c>
      <c r="B153" s="86" t="s">
        <v>33</v>
      </c>
      <c r="C153" s="86" t="s">
        <v>5</v>
      </c>
      <c r="D153" s="86" t="s">
        <v>16</v>
      </c>
      <c r="E153" s="83">
        <v>73005</v>
      </c>
      <c r="F153" s="84" t="s">
        <v>170</v>
      </c>
      <c r="G153" s="86"/>
      <c r="H153" s="79">
        <f>H154+H156+H160+H158</f>
        <v>7297.499999999999</v>
      </c>
      <c r="I153" s="79">
        <f>I154+I156+I160+I158</f>
        <v>1353.6</v>
      </c>
      <c r="J153" s="79">
        <f>J154+J156+J160+J158</f>
        <v>-5943.900000000001</v>
      </c>
      <c r="K153" s="79">
        <f t="shared" si="20"/>
        <v>-81.45118191161356</v>
      </c>
    </row>
    <row r="154" spans="1:11" s="64" customFormat="1" ht="38.25">
      <c r="A154" s="77" t="s">
        <v>58</v>
      </c>
      <c r="B154" s="86" t="s">
        <v>33</v>
      </c>
      <c r="C154" s="86" t="s">
        <v>5</v>
      </c>
      <c r="D154" s="86" t="s">
        <v>16</v>
      </c>
      <c r="E154" s="83">
        <v>73005</v>
      </c>
      <c r="F154" s="84" t="s">
        <v>170</v>
      </c>
      <c r="G154" s="86" t="s">
        <v>57</v>
      </c>
      <c r="H154" s="79">
        <f>H155</f>
        <v>6158.3</v>
      </c>
      <c r="I154" s="79">
        <f>I155</f>
        <v>1132.3</v>
      </c>
      <c r="J154" s="79">
        <f>J155</f>
        <v>-5026</v>
      </c>
      <c r="K154" s="79">
        <f t="shared" si="20"/>
        <v>-81.61343227838852</v>
      </c>
    </row>
    <row r="155" spans="1:12" s="64" customFormat="1" ht="12.75">
      <c r="A155" s="77" t="s">
        <v>77</v>
      </c>
      <c r="B155" s="86" t="s">
        <v>33</v>
      </c>
      <c r="C155" s="86" t="s">
        <v>5</v>
      </c>
      <c r="D155" s="86" t="s">
        <v>16</v>
      </c>
      <c r="E155" s="83">
        <v>73005</v>
      </c>
      <c r="F155" s="84" t="s">
        <v>170</v>
      </c>
      <c r="G155" s="86" t="s">
        <v>76</v>
      </c>
      <c r="H155" s="85">
        <f>6390.5-232.2</f>
        <v>6158.3</v>
      </c>
      <c r="I155" s="85">
        <v>1132.3</v>
      </c>
      <c r="J155" s="85">
        <f>I155-H155</f>
        <v>-5026</v>
      </c>
      <c r="K155" s="79">
        <f t="shared" si="20"/>
        <v>-81.61343227838852</v>
      </c>
      <c r="L155" s="104" t="s">
        <v>408</v>
      </c>
    </row>
    <row r="156" spans="1:11" s="64" customFormat="1" ht="12.75">
      <c r="A156" s="77" t="s">
        <v>62</v>
      </c>
      <c r="B156" s="86" t="s">
        <v>33</v>
      </c>
      <c r="C156" s="86" t="s">
        <v>5</v>
      </c>
      <c r="D156" s="86" t="s">
        <v>16</v>
      </c>
      <c r="E156" s="83">
        <v>73005</v>
      </c>
      <c r="F156" s="84" t="s">
        <v>170</v>
      </c>
      <c r="G156" s="86" t="s">
        <v>61</v>
      </c>
      <c r="H156" s="79">
        <f>H157</f>
        <v>936.5999999999999</v>
      </c>
      <c r="I156" s="79">
        <f>I157</f>
        <v>189.4</v>
      </c>
      <c r="J156" s="79">
        <f>J157</f>
        <v>-747.1999999999999</v>
      </c>
      <c r="K156" s="79">
        <f t="shared" si="20"/>
        <v>-79.77792013666453</v>
      </c>
    </row>
    <row r="157" spans="1:12" s="64" customFormat="1" ht="25.5">
      <c r="A157" s="77" t="s">
        <v>63</v>
      </c>
      <c r="B157" s="86" t="s">
        <v>33</v>
      </c>
      <c r="C157" s="86" t="s">
        <v>5</v>
      </c>
      <c r="D157" s="86" t="s">
        <v>16</v>
      </c>
      <c r="E157" s="83">
        <v>73005</v>
      </c>
      <c r="F157" s="84" t="s">
        <v>170</v>
      </c>
      <c r="G157" s="86" t="s">
        <v>17</v>
      </c>
      <c r="H157" s="85">
        <f>920.8+15.8</f>
        <v>936.5999999999999</v>
      </c>
      <c r="I157" s="85">
        <v>189.4</v>
      </c>
      <c r="J157" s="85">
        <f>I157-H157</f>
        <v>-747.1999999999999</v>
      </c>
      <c r="K157" s="79">
        <f t="shared" si="20"/>
        <v>-79.77792013666453</v>
      </c>
      <c r="L157" s="104" t="s">
        <v>408</v>
      </c>
    </row>
    <row r="158" spans="1:11" s="64" customFormat="1" ht="12.75">
      <c r="A158" s="77" t="s">
        <v>90</v>
      </c>
      <c r="B158" s="86" t="s">
        <v>33</v>
      </c>
      <c r="C158" s="86" t="s">
        <v>5</v>
      </c>
      <c r="D158" s="86" t="s">
        <v>16</v>
      </c>
      <c r="E158" s="83">
        <v>73005</v>
      </c>
      <c r="F158" s="84" t="s">
        <v>170</v>
      </c>
      <c r="G158" s="86" t="s">
        <v>68</v>
      </c>
      <c r="H158" s="79">
        <f>H159</f>
        <v>178.4</v>
      </c>
      <c r="I158" s="79">
        <f>I159</f>
        <v>29.8</v>
      </c>
      <c r="J158" s="79">
        <f>J159</f>
        <v>-148.6</v>
      </c>
      <c r="K158" s="79">
        <f t="shared" si="20"/>
        <v>-83.29596412556054</v>
      </c>
    </row>
    <row r="159" spans="1:12" s="64" customFormat="1" ht="25.5">
      <c r="A159" s="77" t="s">
        <v>125</v>
      </c>
      <c r="B159" s="86" t="s">
        <v>33</v>
      </c>
      <c r="C159" s="86" t="s">
        <v>5</v>
      </c>
      <c r="D159" s="86" t="s">
        <v>16</v>
      </c>
      <c r="E159" s="83">
        <v>73005</v>
      </c>
      <c r="F159" s="84" t="s">
        <v>170</v>
      </c>
      <c r="G159" s="86" t="s">
        <v>83</v>
      </c>
      <c r="H159" s="85">
        <v>178.4</v>
      </c>
      <c r="I159" s="85">
        <v>29.8</v>
      </c>
      <c r="J159" s="85">
        <f>I159-H159</f>
        <v>-148.6</v>
      </c>
      <c r="K159" s="79">
        <f t="shared" si="20"/>
        <v>-83.29596412556054</v>
      </c>
      <c r="L159" s="104" t="s">
        <v>408</v>
      </c>
    </row>
    <row r="160" spans="1:11" s="64" customFormat="1" ht="12.75">
      <c r="A160" s="77" t="s">
        <v>66</v>
      </c>
      <c r="B160" s="86" t="s">
        <v>33</v>
      </c>
      <c r="C160" s="86" t="s">
        <v>5</v>
      </c>
      <c r="D160" s="86" t="s">
        <v>16</v>
      </c>
      <c r="E160" s="83">
        <v>73005</v>
      </c>
      <c r="F160" s="84" t="s">
        <v>170</v>
      </c>
      <c r="G160" s="86" t="s">
        <v>64</v>
      </c>
      <c r="H160" s="79">
        <f>H161</f>
        <v>24.2</v>
      </c>
      <c r="I160" s="79">
        <f>I161</f>
        <v>2.1</v>
      </c>
      <c r="J160" s="79">
        <f>J161</f>
        <v>-22.099999999999998</v>
      </c>
      <c r="K160" s="79">
        <f t="shared" si="20"/>
        <v>-91.32231404958678</v>
      </c>
    </row>
    <row r="161" spans="1:12" s="64" customFormat="1" ht="12.75">
      <c r="A161" s="77" t="s">
        <v>67</v>
      </c>
      <c r="B161" s="86" t="s">
        <v>33</v>
      </c>
      <c r="C161" s="86" t="s">
        <v>5</v>
      </c>
      <c r="D161" s="86" t="s">
        <v>16</v>
      </c>
      <c r="E161" s="83">
        <v>73005</v>
      </c>
      <c r="F161" s="84" t="s">
        <v>170</v>
      </c>
      <c r="G161" s="86" t="s">
        <v>65</v>
      </c>
      <c r="H161" s="85">
        <v>24.2</v>
      </c>
      <c r="I161" s="85">
        <v>2.1</v>
      </c>
      <c r="J161" s="85">
        <f>I161-H161</f>
        <v>-22.099999999999998</v>
      </c>
      <c r="K161" s="79">
        <f t="shared" si="20"/>
        <v>-91.32231404958678</v>
      </c>
      <c r="L161" s="104" t="s">
        <v>408</v>
      </c>
    </row>
    <row r="162" spans="1:11" s="64" customFormat="1" ht="25.5">
      <c r="A162" s="77" t="s">
        <v>334</v>
      </c>
      <c r="B162" s="86" t="s">
        <v>33</v>
      </c>
      <c r="C162" s="86" t="s">
        <v>5</v>
      </c>
      <c r="D162" s="86" t="s">
        <v>16</v>
      </c>
      <c r="E162" s="83">
        <v>73006</v>
      </c>
      <c r="F162" s="82" t="s">
        <v>141</v>
      </c>
      <c r="G162" s="86"/>
      <c r="H162" s="79">
        <f>H163</f>
        <v>28.1</v>
      </c>
      <c r="I162" s="79">
        <f>I163</f>
        <v>0</v>
      </c>
      <c r="J162" s="79">
        <f>J163</f>
        <v>-28.1</v>
      </c>
      <c r="K162" s="79">
        <f t="shared" si="20"/>
        <v>-100</v>
      </c>
    </row>
    <row r="163" spans="1:11" s="64" customFormat="1" ht="25.5">
      <c r="A163" s="77" t="s">
        <v>171</v>
      </c>
      <c r="B163" s="86" t="s">
        <v>33</v>
      </c>
      <c r="C163" s="86" t="s">
        <v>5</v>
      </c>
      <c r="D163" s="86" t="s">
        <v>16</v>
      </c>
      <c r="E163" s="83">
        <v>73006</v>
      </c>
      <c r="F163" s="83">
        <v>99010</v>
      </c>
      <c r="G163" s="86"/>
      <c r="H163" s="79">
        <f>H166+H164</f>
        <v>28.1</v>
      </c>
      <c r="I163" s="79">
        <f>I166+I164</f>
        <v>0</v>
      </c>
      <c r="J163" s="79">
        <f>J166+J164</f>
        <v>-28.1</v>
      </c>
      <c r="K163" s="79">
        <f t="shared" si="20"/>
        <v>-100</v>
      </c>
    </row>
    <row r="164" spans="1:11" s="64" customFormat="1" ht="12.75">
      <c r="A164" s="77" t="s">
        <v>62</v>
      </c>
      <c r="B164" s="86" t="s">
        <v>33</v>
      </c>
      <c r="C164" s="86" t="s">
        <v>5</v>
      </c>
      <c r="D164" s="86" t="s">
        <v>16</v>
      </c>
      <c r="E164" s="83">
        <v>73006</v>
      </c>
      <c r="F164" s="83">
        <v>99010</v>
      </c>
      <c r="G164" s="86" t="s">
        <v>61</v>
      </c>
      <c r="H164" s="79">
        <f>H165</f>
        <v>27.1</v>
      </c>
      <c r="I164" s="79">
        <f>I165</f>
        <v>0</v>
      </c>
      <c r="J164" s="79">
        <f>J165</f>
        <v>-27.1</v>
      </c>
      <c r="K164" s="79">
        <f t="shared" si="20"/>
        <v>-100</v>
      </c>
    </row>
    <row r="165" spans="1:12" s="64" customFormat="1" ht="25.5">
      <c r="A165" s="77" t="s">
        <v>63</v>
      </c>
      <c r="B165" s="86" t="s">
        <v>33</v>
      </c>
      <c r="C165" s="86" t="s">
        <v>5</v>
      </c>
      <c r="D165" s="86" t="s">
        <v>16</v>
      </c>
      <c r="E165" s="83">
        <v>73006</v>
      </c>
      <c r="F165" s="83">
        <v>99010</v>
      </c>
      <c r="G165" s="86" t="s">
        <v>17</v>
      </c>
      <c r="H165" s="79">
        <v>27.1</v>
      </c>
      <c r="I165" s="79">
        <v>0</v>
      </c>
      <c r="J165" s="85">
        <f>I165-H165</f>
        <v>-27.1</v>
      </c>
      <c r="K165" s="79">
        <f t="shared" si="20"/>
        <v>-100</v>
      </c>
      <c r="L165" s="104" t="s">
        <v>408</v>
      </c>
    </row>
    <row r="166" spans="1:11" s="64" customFormat="1" ht="12.75">
      <c r="A166" s="77" t="s">
        <v>66</v>
      </c>
      <c r="B166" s="86" t="s">
        <v>33</v>
      </c>
      <c r="C166" s="86" t="s">
        <v>5</v>
      </c>
      <c r="D166" s="86" t="s">
        <v>16</v>
      </c>
      <c r="E166" s="83">
        <v>73006</v>
      </c>
      <c r="F166" s="83">
        <v>99010</v>
      </c>
      <c r="G166" s="86" t="s">
        <v>64</v>
      </c>
      <c r="H166" s="79">
        <f>H167</f>
        <v>1</v>
      </c>
      <c r="I166" s="79">
        <f>I167</f>
        <v>0</v>
      </c>
      <c r="J166" s="79">
        <f>J167</f>
        <v>-1</v>
      </c>
      <c r="K166" s="79">
        <f t="shared" si="20"/>
        <v>-100</v>
      </c>
    </row>
    <row r="167" spans="1:12" s="64" customFormat="1" ht="12.75">
      <c r="A167" s="77" t="s">
        <v>67</v>
      </c>
      <c r="B167" s="86" t="s">
        <v>33</v>
      </c>
      <c r="C167" s="86" t="s">
        <v>5</v>
      </c>
      <c r="D167" s="86" t="s">
        <v>16</v>
      </c>
      <c r="E167" s="83">
        <v>73006</v>
      </c>
      <c r="F167" s="83">
        <v>99010</v>
      </c>
      <c r="G167" s="86" t="s">
        <v>65</v>
      </c>
      <c r="H167" s="85">
        <v>1</v>
      </c>
      <c r="I167" s="85">
        <v>0</v>
      </c>
      <c r="J167" s="85">
        <f>I167-H167</f>
        <v>-1</v>
      </c>
      <c r="K167" s="79">
        <f t="shared" si="20"/>
        <v>-100</v>
      </c>
      <c r="L167" s="104" t="s">
        <v>408</v>
      </c>
    </row>
    <row r="168" spans="1:11" s="64" customFormat="1" ht="25.5">
      <c r="A168" s="77" t="s">
        <v>317</v>
      </c>
      <c r="B168" s="86" t="s">
        <v>33</v>
      </c>
      <c r="C168" s="86" t="s">
        <v>5</v>
      </c>
      <c r="D168" s="86" t="s">
        <v>16</v>
      </c>
      <c r="E168" s="81">
        <v>73007</v>
      </c>
      <c r="F168" s="82" t="s">
        <v>141</v>
      </c>
      <c r="G168" s="86"/>
      <c r="H168" s="79">
        <f aca="true" t="shared" si="22" ref="H168:J170">H169</f>
        <v>213.6</v>
      </c>
      <c r="I168" s="79">
        <f t="shared" si="22"/>
        <v>33.1</v>
      </c>
      <c r="J168" s="79">
        <f t="shared" si="22"/>
        <v>-180.5</v>
      </c>
      <c r="K168" s="79">
        <f t="shared" si="20"/>
        <v>-84.50374531835206</v>
      </c>
    </row>
    <row r="169" spans="1:11" s="64" customFormat="1" ht="25.5">
      <c r="A169" s="77" t="s">
        <v>318</v>
      </c>
      <c r="B169" s="86" t="s">
        <v>33</v>
      </c>
      <c r="C169" s="86" t="s">
        <v>5</v>
      </c>
      <c r="D169" s="86" t="s">
        <v>16</v>
      </c>
      <c r="E169" s="81">
        <v>73007</v>
      </c>
      <c r="F169" s="93">
        <v>72300</v>
      </c>
      <c r="G169" s="86"/>
      <c r="H169" s="79">
        <f t="shared" si="22"/>
        <v>213.6</v>
      </c>
      <c r="I169" s="79">
        <f t="shared" si="22"/>
        <v>33.1</v>
      </c>
      <c r="J169" s="79">
        <f t="shared" si="22"/>
        <v>-180.5</v>
      </c>
      <c r="K169" s="79">
        <f t="shared" si="20"/>
        <v>-84.50374531835206</v>
      </c>
    </row>
    <row r="170" spans="1:11" s="64" customFormat="1" ht="38.25">
      <c r="A170" s="77" t="s">
        <v>58</v>
      </c>
      <c r="B170" s="86" t="s">
        <v>33</v>
      </c>
      <c r="C170" s="86" t="s">
        <v>5</v>
      </c>
      <c r="D170" s="86" t="s">
        <v>16</v>
      </c>
      <c r="E170" s="81">
        <v>73007</v>
      </c>
      <c r="F170" s="93">
        <v>72300</v>
      </c>
      <c r="G170" s="86" t="s">
        <v>57</v>
      </c>
      <c r="H170" s="79">
        <f t="shared" si="22"/>
        <v>213.6</v>
      </c>
      <c r="I170" s="79">
        <f t="shared" si="22"/>
        <v>33.1</v>
      </c>
      <c r="J170" s="79">
        <f t="shared" si="22"/>
        <v>-180.5</v>
      </c>
      <c r="K170" s="79">
        <f t="shared" si="20"/>
        <v>-84.50374531835206</v>
      </c>
    </row>
    <row r="171" spans="1:12" s="64" customFormat="1" ht="12.75">
      <c r="A171" s="77" t="s">
        <v>77</v>
      </c>
      <c r="B171" s="86" t="s">
        <v>33</v>
      </c>
      <c r="C171" s="86" t="s">
        <v>5</v>
      </c>
      <c r="D171" s="86" t="s">
        <v>16</v>
      </c>
      <c r="E171" s="81">
        <v>73007</v>
      </c>
      <c r="F171" s="93">
        <v>72300</v>
      </c>
      <c r="G171" s="86" t="s">
        <v>76</v>
      </c>
      <c r="H171" s="85">
        <f>210.2+3.4</f>
        <v>213.6</v>
      </c>
      <c r="I171" s="85">
        <v>33.1</v>
      </c>
      <c r="J171" s="85">
        <f>I171-H171</f>
        <v>-180.5</v>
      </c>
      <c r="K171" s="79">
        <f t="shared" si="20"/>
        <v>-84.50374531835206</v>
      </c>
      <c r="L171" s="104" t="s">
        <v>408</v>
      </c>
    </row>
    <row r="172" spans="1:11" s="64" customFormat="1" ht="12.75">
      <c r="A172" s="77" t="s">
        <v>335</v>
      </c>
      <c r="B172" s="86" t="s">
        <v>33</v>
      </c>
      <c r="C172" s="86" t="s">
        <v>5</v>
      </c>
      <c r="D172" s="86" t="s">
        <v>12</v>
      </c>
      <c r="E172" s="83"/>
      <c r="F172" s="83"/>
      <c r="G172" s="86"/>
      <c r="H172" s="79">
        <f aca="true" t="shared" si="23" ref="H172:J176">H173</f>
        <v>361.1</v>
      </c>
      <c r="I172" s="79">
        <f t="shared" si="23"/>
        <v>0</v>
      </c>
      <c r="J172" s="79">
        <f t="shared" si="23"/>
        <v>-361.1</v>
      </c>
      <c r="K172" s="79">
        <f t="shared" si="20"/>
        <v>-100</v>
      </c>
    </row>
    <row r="173" spans="1:11" s="64" customFormat="1" ht="25.5">
      <c r="A173" s="77" t="s">
        <v>332</v>
      </c>
      <c r="B173" s="86" t="s">
        <v>33</v>
      </c>
      <c r="C173" s="86" t="s">
        <v>5</v>
      </c>
      <c r="D173" s="86" t="s">
        <v>12</v>
      </c>
      <c r="E173" s="83">
        <v>73000</v>
      </c>
      <c r="F173" s="82" t="s">
        <v>141</v>
      </c>
      <c r="G173" s="86"/>
      <c r="H173" s="79">
        <f t="shared" si="23"/>
        <v>361.1</v>
      </c>
      <c r="I173" s="79">
        <f t="shared" si="23"/>
        <v>0</v>
      </c>
      <c r="J173" s="79">
        <f t="shared" si="23"/>
        <v>-361.1</v>
      </c>
      <c r="K173" s="79">
        <f t="shared" si="20"/>
        <v>-100</v>
      </c>
    </row>
    <row r="174" spans="1:11" s="64" customFormat="1" ht="25.5">
      <c r="A174" s="77" t="s">
        <v>336</v>
      </c>
      <c r="B174" s="86" t="s">
        <v>33</v>
      </c>
      <c r="C174" s="86" t="s">
        <v>5</v>
      </c>
      <c r="D174" s="86" t="s">
        <v>12</v>
      </c>
      <c r="E174" s="83">
        <v>73001</v>
      </c>
      <c r="F174" s="82" t="s">
        <v>141</v>
      </c>
      <c r="G174" s="86"/>
      <c r="H174" s="79">
        <f t="shared" si="23"/>
        <v>361.1</v>
      </c>
      <c r="I174" s="79">
        <f t="shared" si="23"/>
        <v>0</v>
      </c>
      <c r="J174" s="79">
        <f t="shared" si="23"/>
        <v>-361.1</v>
      </c>
      <c r="K174" s="79">
        <f t="shared" si="20"/>
        <v>-100</v>
      </c>
    </row>
    <row r="175" spans="1:11" s="64" customFormat="1" ht="25.5">
      <c r="A175" s="77" t="s">
        <v>337</v>
      </c>
      <c r="B175" s="86" t="s">
        <v>33</v>
      </c>
      <c r="C175" s="86" t="s">
        <v>5</v>
      </c>
      <c r="D175" s="86" t="s">
        <v>12</v>
      </c>
      <c r="E175" s="83">
        <v>73001</v>
      </c>
      <c r="F175" s="82" t="s">
        <v>253</v>
      </c>
      <c r="G175" s="86"/>
      <c r="H175" s="79">
        <f t="shared" si="23"/>
        <v>361.1</v>
      </c>
      <c r="I175" s="79">
        <f t="shared" si="23"/>
        <v>0</v>
      </c>
      <c r="J175" s="79">
        <f t="shared" si="23"/>
        <v>-361.1</v>
      </c>
      <c r="K175" s="79">
        <f t="shared" si="20"/>
        <v>-100</v>
      </c>
    </row>
    <row r="176" spans="1:11" s="64" customFormat="1" ht="12.75">
      <c r="A176" s="77" t="s">
        <v>62</v>
      </c>
      <c r="B176" s="86" t="s">
        <v>33</v>
      </c>
      <c r="C176" s="86" t="s">
        <v>5</v>
      </c>
      <c r="D176" s="86" t="s">
        <v>12</v>
      </c>
      <c r="E176" s="83">
        <v>73001</v>
      </c>
      <c r="F176" s="82" t="s">
        <v>253</v>
      </c>
      <c r="G176" s="86" t="s">
        <v>61</v>
      </c>
      <c r="H176" s="79">
        <f t="shared" si="23"/>
        <v>361.1</v>
      </c>
      <c r="I176" s="79">
        <f t="shared" si="23"/>
        <v>0</v>
      </c>
      <c r="J176" s="79">
        <f t="shared" si="23"/>
        <v>-361.1</v>
      </c>
      <c r="K176" s="79">
        <f t="shared" si="20"/>
        <v>-100</v>
      </c>
    </row>
    <row r="177" spans="1:12" s="64" customFormat="1" ht="25.5">
      <c r="A177" s="77" t="s">
        <v>63</v>
      </c>
      <c r="B177" s="86" t="s">
        <v>33</v>
      </c>
      <c r="C177" s="86" t="s">
        <v>5</v>
      </c>
      <c r="D177" s="86" t="s">
        <v>12</v>
      </c>
      <c r="E177" s="83">
        <v>73001</v>
      </c>
      <c r="F177" s="82" t="s">
        <v>253</v>
      </c>
      <c r="G177" s="86" t="s">
        <v>17</v>
      </c>
      <c r="H177" s="89">
        <v>361.1</v>
      </c>
      <c r="I177" s="89">
        <v>0</v>
      </c>
      <c r="J177" s="85">
        <f>I177-H177</f>
        <v>-361.1</v>
      </c>
      <c r="K177" s="79">
        <f t="shared" si="20"/>
        <v>-100</v>
      </c>
      <c r="L177" s="104" t="s">
        <v>408</v>
      </c>
    </row>
    <row r="178" spans="1:11" s="64" customFormat="1" ht="12.75">
      <c r="A178" s="77" t="s">
        <v>21</v>
      </c>
      <c r="B178" s="86" t="s">
        <v>33</v>
      </c>
      <c r="C178" s="86" t="s">
        <v>8</v>
      </c>
      <c r="D178" s="86"/>
      <c r="E178" s="86"/>
      <c r="F178" s="86"/>
      <c r="G178" s="86"/>
      <c r="H178" s="79">
        <f>H179+H188+H194+H202</f>
        <v>4438.5</v>
      </c>
      <c r="I178" s="79">
        <f>I179+I188+I194+I202</f>
        <v>558.0999999999999</v>
      </c>
      <c r="J178" s="79">
        <f>J179+J188+J194+J202</f>
        <v>-3880.4000000000005</v>
      </c>
      <c r="K178" s="79">
        <f t="shared" si="20"/>
        <v>-87.4259321842965</v>
      </c>
    </row>
    <row r="179" spans="1:11" s="64" customFormat="1" ht="12.75">
      <c r="A179" s="77" t="s">
        <v>172</v>
      </c>
      <c r="B179" s="86" t="s">
        <v>33</v>
      </c>
      <c r="C179" s="86" t="s">
        <v>8</v>
      </c>
      <c r="D179" s="86" t="s">
        <v>4</v>
      </c>
      <c r="E179" s="86"/>
      <c r="F179" s="86"/>
      <c r="G179" s="86"/>
      <c r="H179" s="79">
        <f aca="true" t="shared" si="24" ref="H179:J180">H180</f>
        <v>45.300000000000004</v>
      </c>
      <c r="I179" s="79">
        <f t="shared" si="24"/>
        <v>0</v>
      </c>
      <c r="J179" s="79">
        <f t="shared" si="24"/>
        <v>-45.300000000000004</v>
      </c>
      <c r="K179" s="79">
        <f t="shared" si="20"/>
        <v>-100</v>
      </c>
    </row>
    <row r="180" spans="1:11" s="64" customFormat="1" ht="12.75">
      <c r="A180" s="77" t="s">
        <v>127</v>
      </c>
      <c r="B180" s="86" t="s">
        <v>33</v>
      </c>
      <c r="C180" s="86" t="s">
        <v>8</v>
      </c>
      <c r="D180" s="86" t="s">
        <v>4</v>
      </c>
      <c r="E180" s="81">
        <v>99000</v>
      </c>
      <c r="F180" s="82" t="s">
        <v>141</v>
      </c>
      <c r="G180" s="86"/>
      <c r="H180" s="79">
        <f t="shared" si="24"/>
        <v>45.300000000000004</v>
      </c>
      <c r="I180" s="79">
        <f t="shared" si="24"/>
        <v>0</v>
      </c>
      <c r="J180" s="79">
        <f t="shared" si="24"/>
        <v>-45.300000000000004</v>
      </c>
      <c r="K180" s="79">
        <f t="shared" si="20"/>
        <v>-100</v>
      </c>
    </row>
    <row r="181" spans="1:11" s="64" customFormat="1" ht="12.75">
      <c r="A181" s="77" t="s">
        <v>130</v>
      </c>
      <c r="B181" s="86" t="s">
        <v>33</v>
      </c>
      <c r="C181" s="86" t="s">
        <v>8</v>
      </c>
      <c r="D181" s="86" t="s">
        <v>4</v>
      </c>
      <c r="E181" s="81">
        <v>99300</v>
      </c>
      <c r="F181" s="82" t="s">
        <v>141</v>
      </c>
      <c r="G181" s="86"/>
      <c r="H181" s="79">
        <f>H182+H185</f>
        <v>45.300000000000004</v>
      </c>
      <c r="I181" s="79">
        <f>I182+I185</f>
        <v>0</v>
      </c>
      <c r="J181" s="79">
        <f>J182+J185</f>
        <v>-45.300000000000004</v>
      </c>
      <c r="K181" s="79">
        <f t="shared" si="20"/>
        <v>-100</v>
      </c>
    </row>
    <row r="182" spans="1:11" s="64" customFormat="1" ht="12.75">
      <c r="A182" s="77" t="s">
        <v>173</v>
      </c>
      <c r="B182" s="86" t="s">
        <v>33</v>
      </c>
      <c r="C182" s="86" t="s">
        <v>8</v>
      </c>
      <c r="D182" s="86" t="s">
        <v>4</v>
      </c>
      <c r="E182" s="81">
        <v>99300</v>
      </c>
      <c r="F182" s="82" t="s">
        <v>174</v>
      </c>
      <c r="G182" s="86"/>
      <c r="H182" s="79">
        <f aca="true" t="shared" si="25" ref="H182:J183">H183</f>
        <v>44.6</v>
      </c>
      <c r="I182" s="79">
        <f t="shared" si="25"/>
        <v>0</v>
      </c>
      <c r="J182" s="79">
        <f t="shared" si="25"/>
        <v>-44.6</v>
      </c>
      <c r="K182" s="79">
        <f t="shared" si="20"/>
        <v>-100</v>
      </c>
    </row>
    <row r="183" spans="1:11" s="64" customFormat="1" ht="12.75">
      <c r="A183" s="77" t="s">
        <v>62</v>
      </c>
      <c r="B183" s="86" t="s">
        <v>33</v>
      </c>
      <c r="C183" s="86" t="s">
        <v>8</v>
      </c>
      <c r="D183" s="86" t="s">
        <v>4</v>
      </c>
      <c r="E183" s="81">
        <v>99300</v>
      </c>
      <c r="F183" s="82" t="s">
        <v>174</v>
      </c>
      <c r="G183" s="86" t="s">
        <v>61</v>
      </c>
      <c r="H183" s="79">
        <f t="shared" si="25"/>
        <v>44.6</v>
      </c>
      <c r="I183" s="79">
        <f t="shared" si="25"/>
        <v>0</v>
      </c>
      <c r="J183" s="79">
        <f t="shared" si="25"/>
        <v>-44.6</v>
      </c>
      <c r="K183" s="79">
        <f t="shared" si="20"/>
        <v>-100</v>
      </c>
    </row>
    <row r="184" spans="1:12" s="64" customFormat="1" ht="25.5">
      <c r="A184" s="77" t="s">
        <v>63</v>
      </c>
      <c r="B184" s="86" t="s">
        <v>33</v>
      </c>
      <c r="C184" s="86" t="s">
        <v>8</v>
      </c>
      <c r="D184" s="86" t="s">
        <v>4</v>
      </c>
      <c r="E184" s="81">
        <v>99300</v>
      </c>
      <c r="F184" s="82" t="s">
        <v>174</v>
      </c>
      <c r="G184" s="86" t="s">
        <v>17</v>
      </c>
      <c r="H184" s="89">
        <v>44.6</v>
      </c>
      <c r="I184" s="89">
        <v>0</v>
      </c>
      <c r="J184" s="85">
        <f>I184-H184</f>
        <v>-44.6</v>
      </c>
      <c r="K184" s="79">
        <f t="shared" si="20"/>
        <v>-100</v>
      </c>
      <c r="L184" s="104" t="s">
        <v>408</v>
      </c>
    </row>
    <row r="185" spans="1:11" s="64" customFormat="1" ht="38.25">
      <c r="A185" s="77" t="s">
        <v>175</v>
      </c>
      <c r="B185" s="86" t="s">
        <v>33</v>
      </c>
      <c r="C185" s="86" t="s">
        <v>8</v>
      </c>
      <c r="D185" s="86" t="s">
        <v>4</v>
      </c>
      <c r="E185" s="81">
        <v>99300</v>
      </c>
      <c r="F185" s="82" t="s">
        <v>176</v>
      </c>
      <c r="G185" s="86"/>
      <c r="H185" s="79">
        <f aca="true" t="shared" si="26" ref="H185:J186">H186</f>
        <v>0.7</v>
      </c>
      <c r="I185" s="79">
        <f t="shared" si="26"/>
        <v>0</v>
      </c>
      <c r="J185" s="79">
        <f t="shared" si="26"/>
        <v>-0.7</v>
      </c>
      <c r="K185" s="79">
        <f t="shared" si="20"/>
        <v>-100</v>
      </c>
    </row>
    <row r="186" spans="1:11" s="64" customFormat="1" ht="12.75">
      <c r="A186" s="77" t="s">
        <v>62</v>
      </c>
      <c r="B186" s="86" t="s">
        <v>33</v>
      </c>
      <c r="C186" s="86" t="s">
        <v>8</v>
      </c>
      <c r="D186" s="86" t="s">
        <v>4</v>
      </c>
      <c r="E186" s="81">
        <v>99300</v>
      </c>
      <c r="F186" s="82" t="s">
        <v>176</v>
      </c>
      <c r="G186" s="86" t="s">
        <v>61</v>
      </c>
      <c r="H186" s="79">
        <f t="shared" si="26"/>
        <v>0.7</v>
      </c>
      <c r="I186" s="79">
        <f t="shared" si="26"/>
        <v>0</v>
      </c>
      <c r="J186" s="79">
        <f t="shared" si="26"/>
        <v>-0.7</v>
      </c>
      <c r="K186" s="79">
        <f t="shared" si="20"/>
        <v>-100</v>
      </c>
    </row>
    <row r="187" spans="1:12" s="64" customFormat="1" ht="25.5">
      <c r="A187" s="77" t="s">
        <v>63</v>
      </c>
      <c r="B187" s="86" t="s">
        <v>33</v>
      </c>
      <c r="C187" s="86" t="s">
        <v>8</v>
      </c>
      <c r="D187" s="86" t="s">
        <v>4</v>
      </c>
      <c r="E187" s="81">
        <v>99300</v>
      </c>
      <c r="F187" s="82" t="s">
        <v>176</v>
      </c>
      <c r="G187" s="86" t="s">
        <v>17</v>
      </c>
      <c r="H187" s="89">
        <v>0.7</v>
      </c>
      <c r="I187" s="89">
        <v>0</v>
      </c>
      <c r="J187" s="85">
        <f>I187-H187</f>
        <v>-0.7</v>
      </c>
      <c r="K187" s="79">
        <f t="shared" si="20"/>
        <v>-100</v>
      </c>
      <c r="L187" s="104" t="s">
        <v>408</v>
      </c>
    </row>
    <row r="188" spans="1:11" s="64" customFormat="1" ht="12.75">
      <c r="A188" s="77" t="s">
        <v>177</v>
      </c>
      <c r="B188" s="86" t="s">
        <v>33</v>
      </c>
      <c r="C188" s="86" t="s">
        <v>8</v>
      </c>
      <c r="D188" s="86" t="s">
        <v>3</v>
      </c>
      <c r="E188" s="86"/>
      <c r="F188" s="86"/>
      <c r="G188" s="86"/>
      <c r="H188" s="79">
        <f aca="true" t="shared" si="27" ref="H188:J192">H189</f>
        <v>196.1</v>
      </c>
      <c r="I188" s="79">
        <f t="shared" si="27"/>
        <v>36.9</v>
      </c>
      <c r="J188" s="79">
        <f t="shared" si="27"/>
        <v>-159.2</v>
      </c>
      <c r="K188" s="79">
        <f t="shared" si="20"/>
        <v>-81.18306986231515</v>
      </c>
    </row>
    <row r="189" spans="1:11" s="64" customFormat="1" ht="12.75">
      <c r="A189" s="77" t="s">
        <v>307</v>
      </c>
      <c r="B189" s="86" t="s">
        <v>33</v>
      </c>
      <c r="C189" s="86" t="s">
        <v>8</v>
      </c>
      <c r="D189" s="86" t="s">
        <v>3</v>
      </c>
      <c r="E189" s="81">
        <v>72000</v>
      </c>
      <c r="F189" s="82" t="s">
        <v>141</v>
      </c>
      <c r="G189" s="86"/>
      <c r="H189" s="79">
        <f t="shared" si="27"/>
        <v>196.1</v>
      </c>
      <c r="I189" s="79">
        <f t="shared" si="27"/>
        <v>36.9</v>
      </c>
      <c r="J189" s="79">
        <f t="shared" si="27"/>
        <v>-159.2</v>
      </c>
      <c r="K189" s="79">
        <f t="shared" si="20"/>
        <v>-81.18306986231515</v>
      </c>
    </row>
    <row r="190" spans="1:11" s="64" customFormat="1" ht="38.25">
      <c r="A190" s="77" t="s">
        <v>338</v>
      </c>
      <c r="B190" s="86" t="s">
        <v>33</v>
      </c>
      <c r="C190" s="86" t="s">
        <v>8</v>
      </c>
      <c r="D190" s="86" t="s">
        <v>3</v>
      </c>
      <c r="E190" s="81">
        <v>72006</v>
      </c>
      <c r="F190" s="82" t="s">
        <v>141</v>
      </c>
      <c r="G190" s="86"/>
      <c r="H190" s="79">
        <f t="shared" si="27"/>
        <v>196.1</v>
      </c>
      <c r="I190" s="79">
        <f t="shared" si="27"/>
        <v>36.9</v>
      </c>
      <c r="J190" s="79">
        <f t="shared" si="27"/>
        <v>-159.2</v>
      </c>
      <c r="K190" s="79">
        <f t="shared" si="20"/>
        <v>-81.18306986231515</v>
      </c>
    </row>
    <row r="191" spans="1:11" s="64" customFormat="1" ht="38.25">
      <c r="A191" s="77" t="s">
        <v>339</v>
      </c>
      <c r="B191" s="86" t="s">
        <v>33</v>
      </c>
      <c r="C191" s="86" t="s">
        <v>8</v>
      </c>
      <c r="D191" s="86" t="s">
        <v>3</v>
      </c>
      <c r="E191" s="81">
        <v>72006</v>
      </c>
      <c r="F191" s="82" t="s">
        <v>180</v>
      </c>
      <c r="G191" s="86"/>
      <c r="H191" s="79">
        <f t="shared" si="27"/>
        <v>196.1</v>
      </c>
      <c r="I191" s="79">
        <f t="shared" si="27"/>
        <v>36.9</v>
      </c>
      <c r="J191" s="79">
        <f t="shared" si="27"/>
        <v>-159.2</v>
      </c>
      <c r="K191" s="79">
        <f t="shared" si="20"/>
        <v>-81.18306986231515</v>
      </c>
    </row>
    <row r="192" spans="1:11" s="64" customFormat="1" ht="12.75">
      <c r="A192" s="77" t="s">
        <v>66</v>
      </c>
      <c r="B192" s="86" t="s">
        <v>33</v>
      </c>
      <c r="C192" s="86" t="s">
        <v>8</v>
      </c>
      <c r="D192" s="86" t="s">
        <v>3</v>
      </c>
      <c r="E192" s="81">
        <v>72006</v>
      </c>
      <c r="F192" s="82" t="s">
        <v>180</v>
      </c>
      <c r="G192" s="86" t="s">
        <v>64</v>
      </c>
      <c r="H192" s="79">
        <f t="shared" si="27"/>
        <v>196.1</v>
      </c>
      <c r="I192" s="79">
        <f t="shared" si="27"/>
        <v>36.9</v>
      </c>
      <c r="J192" s="79">
        <f t="shared" si="27"/>
        <v>-159.2</v>
      </c>
      <c r="K192" s="79">
        <f t="shared" si="20"/>
        <v>-81.18306986231515</v>
      </c>
    </row>
    <row r="193" spans="1:12" s="64" customFormat="1" ht="25.5">
      <c r="A193" s="77" t="s">
        <v>95</v>
      </c>
      <c r="B193" s="86" t="s">
        <v>33</v>
      </c>
      <c r="C193" s="86" t="s">
        <v>8</v>
      </c>
      <c r="D193" s="86" t="s">
        <v>3</v>
      </c>
      <c r="E193" s="81">
        <v>72006</v>
      </c>
      <c r="F193" s="82" t="s">
        <v>180</v>
      </c>
      <c r="G193" s="86" t="s">
        <v>94</v>
      </c>
      <c r="H193" s="91">
        <v>196.1</v>
      </c>
      <c r="I193" s="91">
        <v>36.9</v>
      </c>
      <c r="J193" s="85">
        <f>I193-H193</f>
        <v>-159.2</v>
      </c>
      <c r="K193" s="79">
        <f t="shared" si="20"/>
        <v>-81.18306986231515</v>
      </c>
      <c r="L193" s="104" t="s">
        <v>408</v>
      </c>
    </row>
    <row r="194" spans="1:11" s="64" customFormat="1" ht="12.75">
      <c r="A194" s="77" t="s">
        <v>54</v>
      </c>
      <c r="B194" s="86" t="s">
        <v>33</v>
      </c>
      <c r="C194" s="86" t="s">
        <v>8</v>
      </c>
      <c r="D194" s="86" t="s">
        <v>16</v>
      </c>
      <c r="E194" s="86"/>
      <c r="F194" s="86"/>
      <c r="G194" s="86"/>
      <c r="H194" s="79">
        <f aca="true" t="shared" si="28" ref="H194:J196">H195</f>
        <v>4092.1000000000004</v>
      </c>
      <c r="I194" s="79">
        <f t="shared" si="28"/>
        <v>521.1999999999999</v>
      </c>
      <c r="J194" s="79">
        <f t="shared" si="28"/>
        <v>-3570.9000000000005</v>
      </c>
      <c r="K194" s="79">
        <f t="shared" si="20"/>
        <v>-87.26326336111043</v>
      </c>
    </row>
    <row r="195" spans="1:11" s="64" customFormat="1" ht="25.5">
      <c r="A195" s="77" t="s">
        <v>340</v>
      </c>
      <c r="B195" s="86" t="s">
        <v>33</v>
      </c>
      <c r="C195" s="86" t="s">
        <v>8</v>
      </c>
      <c r="D195" s="86" t="s">
        <v>16</v>
      </c>
      <c r="E195" s="81">
        <v>75000</v>
      </c>
      <c r="F195" s="82" t="s">
        <v>141</v>
      </c>
      <c r="G195" s="86"/>
      <c r="H195" s="79">
        <f t="shared" si="28"/>
        <v>4092.1000000000004</v>
      </c>
      <c r="I195" s="79">
        <f t="shared" si="28"/>
        <v>521.1999999999999</v>
      </c>
      <c r="J195" s="79">
        <f t="shared" si="28"/>
        <v>-3570.9000000000005</v>
      </c>
      <c r="K195" s="79">
        <f t="shared" si="20"/>
        <v>-87.26326336111043</v>
      </c>
    </row>
    <row r="196" spans="1:11" s="64" customFormat="1" ht="25.5">
      <c r="A196" s="77" t="s">
        <v>341</v>
      </c>
      <c r="B196" s="86" t="s">
        <v>33</v>
      </c>
      <c r="C196" s="86" t="s">
        <v>8</v>
      </c>
      <c r="D196" s="86" t="s">
        <v>16</v>
      </c>
      <c r="E196" s="83">
        <v>75001</v>
      </c>
      <c r="F196" s="82" t="s">
        <v>141</v>
      </c>
      <c r="G196" s="86"/>
      <c r="H196" s="79">
        <f t="shared" si="28"/>
        <v>4092.1000000000004</v>
      </c>
      <c r="I196" s="79">
        <f t="shared" si="28"/>
        <v>521.1999999999999</v>
      </c>
      <c r="J196" s="79">
        <f t="shared" si="28"/>
        <v>-3570.9000000000005</v>
      </c>
      <c r="K196" s="79">
        <f t="shared" si="20"/>
        <v>-87.26326336111043</v>
      </c>
    </row>
    <row r="197" spans="1:11" s="64" customFormat="1" ht="38.25">
      <c r="A197" s="96" t="s">
        <v>182</v>
      </c>
      <c r="B197" s="86" t="s">
        <v>33</v>
      </c>
      <c r="C197" s="86" t="s">
        <v>8</v>
      </c>
      <c r="D197" s="86" t="s">
        <v>16</v>
      </c>
      <c r="E197" s="83">
        <v>75001</v>
      </c>
      <c r="F197" s="93" t="s">
        <v>183</v>
      </c>
      <c r="G197" s="86"/>
      <c r="H197" s="79">
        <f>H198+H200</f>
        <v>4092.1000000000004</v>
      </c>
      <c r="I197" s="79">
        <f>I198+I200</f>
        <v>521.1999999999999</v>
      </c>
      <c r="J197" s="79">
        <f>J198+J200</f>
        <v>-3570.9000000000005</v>
      </c>
      <c r="K197" s="79">
        <f t="shared" si="20"/>
        <v>-87.26326336111043</v>
      </c>
    </row>
    <row r="198" spans="1:11" s="64" customFormat="1" ht="12.75">
      <c r="A198" s="77" t="s">
        <v>62</v>
      </c>
      <c r="B198" s="86" t="s">
        <v>33</v>
      </c>
      <c r="C198" s="86" t="s">
        <v>8</v>
      </c>
      <c r="D198" s="86" t="s">
        <v>16</v>
      </c>
      <c r="E198" s="83">
        <v>75001</v>
      </c>
      <c r="F198" s="93" t="s">
        <v>183</v>
      </c>
      <c r="G198" s="86" t="s">
        <v>61</v>
      </c>
      <c r="H198" s="79">
        <f>H199</f>
        <v>1632</v>
      </c>
      <c r="I198" s="79">
        <f>I199</f>
        <v>40.3</v>
      </c>
      <c r="J198" s="79">
        <f>J199</f>
        <v>-1591.7</v>
      </c>
      <c r="K198" s="79">
        <f t="shared" si="20"/>
        <v>-97.53063725490196</v>
      </c>
    </row>
    <row r="199" spans="1:12" s="64" customFormat="1" ht="25.5">
      <c r="A199" s="77" t="s">
        <v>63</v>
      </c>
      <c r="B199" s="86" t="s">
        <v>33</v>
      </c>
      <c r="C199" s="86" t="s">
        <v>8</v>
      </c>
      <c r="D199" s="86" t="s">
        <v>16</v>
      </c>
      <c r="E199" s="83">
        <v>75001</v>
      </c>
      <c r="F199" s="93" t="s">
        <v>183</v>
      </c>
      <c r="G199" s="86" t="s">
        <v>17</v>
      </c>
      <c r="H199" s="85">
        <f>909.7+722.3</f>
        <v>1632</v>
      </c>
      <c r="I199" s="85">
        <v>40.3</v>
      </c>
      <c r="J199" s="85">
        <f>I199-H199</f>
        <v>-1591.7</v>
      </c>
      <c r="K199" s="79">
        <f t="shared" si="20"/>
        <v>-97.53063725490196</v>
      </c>
      <c r="L199" s="104" t="s">
        <v>408</v>
      </c>
    </row>
    <row r="200" spans="1:11" s="64" customFormat="1" ht="12.75">
      <c r="A200" s="77" t="s">
        <v>66</v>
      </c>
      <c r="B200" s="86" t="s">
        <v>33</v>
      </c>
      <c r="C200" s="86" t="s">
        <v>8</v>
      </c>
      <c r="D200" s="86" t="s">
        <v>16</v>
      </c>
      <c r="E200" s="83">
        <v>75001</v>
      </c>
      <c r="F200" s="93" t="s">
        <v>183</v>
      </c>
      <c r="G200" s="86" t="s">
        <v>64</v>
      </c>
      <c r="H200" s="79">
        <f>H201</f>
        <v>2460.1000000000004</v>
      </c>
      <c r="I200" s="79">
        <f>I201</f>
        <v>480.9</v>
      </c>
      <c r="J200" s="79">
        <f>J201</f>
        <v>-1979.2000000000003</v>
      </c>
      <c r="K200" s="79">
        <f t="shared" si="20"/>
        <v>-80.45201414576644</v>
      </c>
    </row>
    <row r="201" spans="1:12" s="64" customFormat="1" ht="25.5">
      <c r="A201" s="77" t="s">
        <v>95</v>
      </c>
      <c r="B201" s="86" t="s">
        <v>33</v>
      </c>
      <c r="C201" s="86" t="s">
        <v>8</v>
      </c>
      <c r="D201" s="86" t="s">
        <v>16</v>
      </c>
      <c r="E201" s="83">
        <v>75001</v>
      </c>
      <c r="F201" s="93" t="s">
        <v>183</v>
      </c>
      <c r="G201" s="86" t="s">
        <v>94</v>
      </c>
      <c r="H201" s="85">
        <f>3369.8-909.7</f>
        <v>2460.1000000000004</v>
      </c>
      <c r="I201" s="85">
        <v>480.9</v>
      </c>
      <c r="J201" s="85">
        <f>I201-H201</f>
        <v>-1979.2000000000003</v>
      </c>
      <c r="K201" s="79">
        <f t="shared" si="20"/>
        <v>-80.45201414576644</v>
      </c>
      <c r="L201" s="104" t="s">
        <v>408</v>
      </c>
    </row>
    <row r="202" spans="1:11" s="64" customFormat="1" ht="12.75">
      <c r="A202" s="77" t="s">
        <v>184</v>
      </c>
      <c r="B202" s="86" t="s">
        <v>33</v>
      </c>
      <c r="C202" s="86" t="s">
        <v>8</v>
      </c>
      <c r="D202" s="86" t="s">
        <v>35</v>
      </c>
      <c r="E202" s="86"/>
      <c r="F202" s="86"/>
      <c r="G202" s="86"/>
      <c r="H202" s="79">
        <f aca="true" t="shared" si="29" ref="H202:J206">H203</f>
        <v>105</v>
      </c>
      <c r="I202" s="79">
        <f t="shared" si="29"/>
        <v>0</v>
      </c>
      <c r="J202" s="79">
        <f t="shared" si="29"/>
        <v>-105</v>
      </c>
      <c r="K202" s="79">
        <f t="shared" si="20"/>
        <v>-100</v>
      </c>
    </row>
    <row r="203" spans="1:11" s="64" customFormat="1" ht="25.5">
      <c r="A203" s="77" t="s">
        <v>319</v>
      </c>
      <c r="B203" s="86" t="s">
        <v>33</v>
      </c>
      <c r="C203" s="86" t="s">
        <v>8</v>
      </c>
      <c r="D203" s="86" t="s">
        <v>35</v>
      </c>
      <c r="E203" s="83">
        <v>74000</v>
      </c>
      <c r="F203" s="82" t="s">
        <v>141</v>
      </c>
      <c r="G203" s="86"/>
      <c r="H203" s="79">
        <f t="shared" si="29"/>
        <v>105</v>
      </c>
      <c r="I203" s="79">
        <f t="shared" si="29"/>
        <v>0</v>
      </c>
      <c r="J203" s="79">
        <f t="shared" si="29"/>
        <v>-105</v>
      </c>
      <c r="K203" s="79">
        <f aca="true" t="shared" si="30" ref="K203:K266">I203/H203*100-100</f>
        <v>-100</v>
      </c>
    </row>
    <row r="204" spans="1:11" s="64" customFormat="1" ht="25.5">
      <c r="A204" s="94" t="s">
        <v>185</v>
      </c>
      <c r="B204" s="86" t="s">
        <v>33</v>
      </c>
      <c r="C204" s="86" t="s">
        <v>8</v>
      </c>
      <c r="D204" s="86" t="s">
        <v>35</v>
      </c>
      <c r="E204" s="83">
        <v>74007</v>
      </c>
      <c r="F204" s="82" t="s">
        <v>141</v>
      </c>
      <c r="G204" s="86"/>
      <c r="H204" s="79">
        <f t="shared" si="29"/>
        <v>105</v>
      </c>
      <c r="I204" s="79">
        <f t="shared" si="29"/>
        <v>0</v>
      </c>
      <c r="J204" s="79">
        <f t="shared" si="29"/>
        <v>-105</v>
      </c>
      <c r="K204" s="79">
        <f t="shared" si="30"/>
        <v>-100</v>
      </c>
    </row>
    <row r="205" spans="1:11" s="64" customFormat="1" ht="12.75">
      <c r="A205" s="94" t="s">
        <v>186</v>
      </c>
      <c r="B205" s="86" t="s">
        <v>33</v>
      </c>
      <c r="C205" s="86" t="s">
        <v>8</v>
      </c>
      <c r="D205" s="86" t="s">
        <v>35</v>
      </c>
      <c r="E205" s="83">
        <v>74007</v>
      </c>
      <c r="F205" s="83">
        <v>99100</v>
      </c>
      <c r="G205" s="86"/>
      <c r="H205" s="79">
        <f t="shared" si="29"/>
        <v>105</v>
      </c>
      <c r="I205" s="79">
        <f t="shared" si="29"/>
        <v>0</v>
      </c>
      <c r="J205" s="79">
        <f t="shared" si="29"/>
        <v>-105</v>
      </c>
      <c r="K205" s="79">
        <f t="shared" si="30"/>
        <v>-100</v>
      </c>
    </row>
    <row r="206" spans="1:11" s="64" customFormat="1" ht="12.75">
      <c r="A206" s="77" t="s">
        <v>62</v>
      </c>
      <c r="B206" s="86" t="s">
        <v>33</v>
      </c>
      <c r="C206" s="86" t="s">
        <v>8</v>
      </c>
      <c r="D206" s="86" t="s">
        <v>35</v>
      </c>
      <c r="E206" s="83">
        <v>74007</v>
      </c>
      <c r="F206" s="83">
        <v>99100</v>
      </c>
      <c r="G206" s="86" t="s">
        <v>61</v>
      </c>
      <c r="H206" s="79">
        <f t="shared" si="29"/>
        <v>105</v>
      </c>
      <c r="I206" s="79">
        <f t="shared" si="29"/>
        <v>0</v>
      </c>
      <c r="J206" s="79">
        <f t="shared" si="29"/>
        <v>-105</v>
      </c>
      <c r="K206" s="79">
        <f t="shared" si="30"/>
        <v>-100</v>
      </c>
    </row>
    <row r="207" spans="1:12" s="64" customFormat="1" ht="25.5">
      <c r="A207" s="77" t="s">
        <v>63</v>
      </c>
      <c r="B207" s="86" t="s">
        <v>33</v>
      </c>
      <c r="C207" s="86" t="s">
        <v>8</v>
      </c>
      <c r="D207" s="86" t="s">
        <v>35</v>
      </c>
      <c r="E207" s="83">
        <v>74007</v>
      </c>
      <c r="F207" s="83">
        <v>99100</v>
      </c>
      <c r="G207" s="86" t="s">
        <v>17</v>
      </c>
      <c r="H207" s="85">
        <v>105</v>
      </c>
      <c r="I207" s="85">
        <v>0</v>
      </c>
      <c r="J207" s="85">
        <f>I207-H207</f>
        <v>-105</v>
      </c>
      <c r="K207" s="79">
        <f t="shared" si="30"/>
        <v>-100</v>
      </c>
      <c r="L207" s="104" t="s">
        <v>408</v>
      </c>
    </row>
    <row r="208" spans="1:11" s="64" customFormat="1" ht="12.75">
      <c r="A208" s="77" t="s">
        <v>26</v>
      </c>
      <c r="B208" s="86" t="s">
        <v>33</v>
      </c>
      <c r="C208" s="86" t="s">
        <v>4</v>
      </c>
      <c r="D208" s="86"/>
      <c r="E208" s="86"/>
      <c r="F208" s="86"/>
      <c r="G208" s="86"/>
      <c r="H208" s="79">
        <f>H209+H215+H268</f>
        <v>12374.099999999999</v>
      </c>
      <c r="I208" s="79">
        <f>I209+I215+I268</f>
        <v>2020.1000000000004</v>
      </c>
      <c r="J208" s="79">
        <f>J209+J215+J268</f>
        <v>-10354</v>
      </c>
      <c r="K208" s="79">
        <f t="shared" si="30"/>
        <v>-83.6747723066728</v>
      </c>
    </row>
    <row r="209" spans="1:11" s="64" customFormat="1" ht="12.75">
      <c r="A209" s="97" t="s">
        <v>126</v>
      </c>
      <c r="B209" s="86" t="s">
        <v>33</v>
      </c>
      <c r="C209" s="86" t="s">
        <v>4</v>
      </c>
      <c r="D209" s="86" t="s">
        <v>1</v>
      </c>
      <c r="E209" s="86"/>
      <c r="F209" s="86"/>
      <c r="G209" s="86"/>
      <c r="H209" s="79">
        <f aca="true" t="shared" si="31" ref="H209:J213">H210</f>
        <v>608.4</v>
      </c>
      <c r="I209" s="79">
        <f t="shared" si="31"/>
        <v>47.9</v>
      </c>
      <c r="J209" s="79">
        <f t="shared" si="31"/>
        <v>-560.5</v>
      </c>
      <c r="K209" s="79">
        <f t="shared" si="30"/>
        <v>-92.12689020381328</v>
      </c>
    </row>
    <row r="210" spans="1:11" s="64" customFormat="1" ht="25.5">
      <c r="A210" s="77" t="s">
        <v>319</v>
      </c>
      <c r="B210" s="86" t="s">
        <v>33</v>
      </c>
      <c r="C210" s="86" t="s">
        <v>4</v>
      </c>
      <c r="D210" s="86" t="s">
        <v>1</v>
      </c>
      <c r="E210" s="83">
        <v>74000</v>
      </c>
      <c r="F210" s="82" t="s">
        <v>141</v>
      </c>
      <c r="G210" s="86"/>
      <c r="H210" s="79">
        <f t="shared" si="31"/>
        <v>608.4</v>
      </c>
      <c r="I210" s="79">
        <f t="shared" si="31"/>
        <v>47.9</v>
      </c>
      <c r="J210" s="79">
        <f t="shared" si="31"/>
        <v>-560.5</v>
      </c>
      <c r="K210" s="79">
        <f t="shared" si="30"/>
        <v>-92.12689020381328</v>
      </c>
    </row>
    <row r="211" spans="1:11" s="64" customFormat="1" ht="38.25">
      <c r="A211" s="94" t="s">
        <v>187</v>
      </c>
      <c r="B211" s="86" t="s">
        <v>33</v>
      </c>
      <c r="C211" s="86" t="s">
        <v>4</v>
      </c>
      <c r="D211" s="86" t="s">
        <v>1</v>
      </c>
      <c r="E211" s="83">
        <v>74005</v>
      </c>
      <c r="F211" s="82" t="s">
        <v>141</v>
      </c>
      <c r="G211" s="86"/>
      <c r="H211" s="79">
        <f t="shared" si="31"/>
        <v>608.4</v>
      </c>
      <c r="I211" s="79">
        <f t="shared" si="31"/>
        <v>47.9</v>
      </c>
      <c r="J211" s="79">
        <f t="shared" si="31"/>
        <v>-560.5</v>
      </c>
      <c r="K211" s="79">
        <f t="shared" si="30"/>
        <v>-92.12689020381328</v>
      </c>
    </row>
    <row r="212" spans="1:11" s="64" customFormat="1" ht="38.25">
      <c r="A212" s="94" t="s">
        <v>188</v>
      </c>
      <c r="B212" s="86" t="s">
        <v>33</v>
      </c>
      <c r="C212" s="86" t="s">
        <v>4</v>
      </c>
      <c r="D212" s="86" t="s">
        <v>1</v>
      </c>
      <c r="E212" s="83">
        <v>74005</v>
      </c>
      <c r="F212" s="83">
        <v>99080</v>
      </c>
      <c r="G212" s="86"/>
      <c r="H212" s="79">
        <f t="shared" si="31"/>
        <v>608.4</v>
      </c>
      <c r="I212" s="79">
        <f t="shared" si="31"/>
        <v>47.9</v>
      </c>
      <c r="J212" s="79">
        <f t="shared" si="31"/>
        <v>-560.5</v>
      </c>
      <c r="K212" s="79">
        <f t="shared" si="30"/>
        <v>-92.12689020381328</v>
      </c>
    </row>
    <row r="213" spans="1:11" s="64" customFormat="1" ht="12.75">
      <c r="A213" s="77" t="s">
        <v>62</v>
      </c>
      <c r="B213" s="86" t="s">
        <v>33</v>
      </c>
      <c r="C213" s="86" t="s">
        <v>4</v>
      </c>
      <c r="D213" s="86" t="s">
        <v>1</v>
      </c>
      <c r="E213" s="83">
        <v>74005</v>
      </c>
      <c r="F213" s="83">
        <v>99080</v>
      </c>
      <c r="G213" s="86" t="s">
        <v>61</v>
      </c>
      <c r="H213" s="79">
        <f t="shared" si="31"/>
        <v>608.4</v>
      </c>
      <c r="I213" s="79">
        <f t="shared" si="31"/>
        <v>47.9</v>
      </c>
      <c r="J213" s="79">
        <f t="shared" si="31"/>
        <v>-560.5</v>
      </c>
      <c r="K213" s="79">
        <f t="shared" si="30"/>
        <v>-92.12689020381328</v>
      </c>
    </row>
    <row r="214" spans="1:12" s="64" customFormat="1" ht="25.5">
      <c r="A214" s="77" t="s">
        <v>63</v>
      </c>
      <c r="B214" s="86" t="s">
        <v>33</v>
      </c>
      <c r="C214" s="86" t="s">
        <v>4</v>
      </c>
      <c r="D214" s="86" t="s">
        <v>1</v>
      </c>
      <c r="E214" s="83">
        <v>74005</v>
      </c>
      <c r="F214" s="83">
        <v>99080</v>
      </c>
      <c r="G214" s="86" t="s">
        <v>17</v>
      </c>
      <c r="H214" s="85">
        <v>608.4</v>
      </c>
      <c r="I214" s="85">
        <v>47.9</v>
      </c>
      <c r="J214" s="85">
        <f>I214-H214</f>
        <v>-560.5</v>
      </c>
      <c r="K214" s="79">
        <f t="shared" si="30"/>
        <v>-92.12689020381328</v>
      </c>
      <c r="L214" s="104" t="s">
        <v>408</v>
      </c>
    </row>
    <row r="215" spans="1:11" s="64" customFormat="1" ht="12.75">
      <c r="A215" s="77" t="s">
        <v>96</v>
      </c>
      <c r="B215" s="86" t="s">
        <v>33</v>
      </c>
      <c r="C215" s="86" t="s">
        <v>4</v>
      </c>
      <c r="D215" s="86" t="s">
        <v>5</v>
      </c>
      <c r="E215" s="86"/>
      <c r="F215" s="86"/>
      <c r="G215" s="86"/>
      <c r="H215" s="79">
        <f>H216+H257+H235+H241+H246</f>
        <v>9979.199999999999</v>
      </c>
      <c r="I215" s="79">
        <f>I216+I257+I235+I241+I246</f>
        <v>1564.7000000000003</v>
      </c>
      <c r="J215" s="79">
        <f>J216+J257+J235+J241+J246</f>
        <v>-8414.5</v>
      </c>
      <c r="K215" s="79">
        <f t="shared" si="30"/>
        <v>-84.32038640371974</v>
      </c>
    </row>
    <row r="216" spans="1:11" s="64" customFormat="1" ht="25.5">
      <c r="A216" s="77" t="s">
        <v>340</v>
      </c>
      <c r="B216" s="86" t="s">
        <v>33</v>
      </c>
      <c r="C216" s="86" t="s">
        <v>4</v>
      </c>
      <c r="D216" s="86" t="s">
        <v>5</v>
      </c>
      <c r="E216" s="81">
        <v>75000</v>
      </c>
      <c r="F216" s="82" t="s">
        <v>141</v>
      </c>
      <c r="G216" s="86"/>
      <c r="H216" s="79">
        <f>H217+H221+H225+H231</f>
        <v>4973.099999999999</v>
      </c>
      <c r="I216" s="79">
        <f>I217+I221+I225+I231</f>
        <v>1101.6</v>
      </c>
      <c r="J216" s="79">
        <f>J217+J221+J225+J231</f>
        <v>-3871.5</v>
      </c>
      <c r="K216" s="79">
        <f t="shared" si="30"/>
        <v>-77.84882668757918</v>
      </c>
    </row>
    <row r="217" spans="1:11" s="64" customFormat="1" ht="25.5">
      <c r="A217" s="77" t="s">
        <v>341</v>
      </c>
      <c r="B217" s="86" t="s">
        <v>33</v>
      </c>
      <c r="C217" s="86" t="s">
        <v>4</v>
      </c>
      <c r="D217" s="86" t="s">
        <v>5</v>
      </c>
      <c r="E217" s="83">
        <v>75001</v>
      </c>
      <c r="F217" s="82" t="s">
        <v>141</v>
      </c>
      <c r="G217" s="86"/>
      <c r="H217" s="79">
        <f aca="true" t="shared" si="32" ref="H217:J219">H218</f>
        <v>1545.7</v>
      </c>
      <c r="I217" s="79">
        <f t="shared" si="32"/>
        <v>0</v>
      </c>
      <c r="J217" s="79">
        <f t="shared" si="32"/>
        <v>-1545.7</v>
      </c>
      <c r="K217" s="79">
        <f t="shared" si="30"/>
        <v>-100</v>
      </c>
    </row>
    <row r="218" spans="1:11" s="64" customFormat="1" ht="38.25">
      <c r="A218" s="96" t="s">
        <v>182</v>
      </c>
      <c r="B218" s="86" t="s">
        <v>33</v>
      </c>
      <c r="C218" s="86" t="s">
        <v>4</v>
      </c>
      <c r="D218" s="86" t="s">
        <v>5</v>
      </c>
      <c r="E218" s="83">
        <v>75001</v>
      </c>
      <c r="F218" s="93" t="s">
        <v>183</v>
      </c>
      <c r="G218" s="86"/>
      <c r="H218" s="79">
        <f t="shared" si="32"/>
        <v>1545.7</v>
      </c>
      <c r="I218" s="79">
        <f t="shared" si="32"/>
        <v>0</v>
      </c>
      <c r="J218" s="79">
        <f t="shared" si="32"/>
        <v>-1545.7</v>
      </c>
      <c r="K218" s="79">
        <f t="shared" si="30"/>
        <v>-100</v>
      </c>
    </row>
    <row r="219" spans="1:11" s="64" customFormat="1" ht="12.75">
      <c r="A219" s="77" t="s">
        <v>62</v>
      </c>
      <c r="B219" s="86" t="s">
        <v>33</v>
      </c>
      <c r="C219" s="86" t="s">
        <v>4</v>
      </c>
      <c r="D219" s="86" t="s">
        <v>5</v>
      </c>
      <c r="E219" s="83">
        <v>75001</v>
      </c>
      <c r="F219" s="93" t="s">
        <v>183</v>
      </c>
      <c r="G219" s="86" t="s">
        <v>61</v>
      </c>
      <c r="H219" s="79">
        <f t="shared" si="32"/>
        <v>1545.7</v>
      </c>
      <c r="I219" s="79">
        <f t="shared" si="32"/>
        <v>0</v>
      </c>
      <c r="J219" s="79">
        <f t="shared" si="32"/>
        <v>-1545.7</v>
      </c>
      <c r="K219" s="79">
        <f t="shared" si="30"/>
        <v>-100</v>
      </c>
    </row>
    <row r="220" spans="1:12" s="64" customFormat="1" ht="25.5">
      <c r="A220" s="77" t="s">
        <v>63</v>
      </c>
      <c r="B220" s="86" t="s">
        <v>33</v>
      </c>
      <c r="C220" s="86" t="s">
        <v>4</v>
      </c>
      <c r="D220" s="86" t="s">
        <v>5</v>
      </c>
      <c r="E220" s="83">
        <v>75001</v>
      </c>
      <c r="F220" s="93" t="s">
        <v>183</v>
      </c>
      <c r="G220" s="86" t="s">
        <v>17</v>
      </c>
      <c r="H220" s="85">
        <v>1545.7</v>
      </c>
      <c r="I220" s="85">
        <v>0</v>
      </c>
      <c r="J220" s="85">
        <f>I220-H220</f>
        <v>-1545.7</v>
      </c>
      <c r="K220" s="79">
        <f t="shared" si="30"/>
        <v>-100</v>
      </c>
      <c r="L220" s="104" t="s">
        <v>408</v>
      </c>
    </row>
    <row r="221" spans="1:11" s="64" customFormat="1" ht="12.75">
      <c r="A221" s="77" t="s">
        <v>190</v>
      </c>
      <c r="B221" s="86" t="s">
        <v>33</v>
      </c>
      <c r="C221" s="86" t="s">
        <v>4</v>
      </c>
      <c r="D221" s="86" t="s">
        <v>5</v>
      </c>
      <c r="E221" s="83">
        <v>75004</v>
      </c>
      <c r="F221" s="82" t="s">
        <v>141</v>
      </c>
      <c r="G221" s="86"/>
      <c r="H221" s="79">
        <f aca="true" t="shared" si="33" ref="H221:J223">H222</f>
        <v>2177</v>
      </c>
      <c r="I221" s="79">
        <f t="shared" si="33"/>
        <v>775.5</v>
      </c>
      <c r="J221" s="79">
        <f t="shared" si="33"/>
        <v>-1401.5</v>
      </c>
      <c r="K221" s="79">
        <f t="shared" si="30"/>
        <v>-64.37758383096005</v>
      </c>
    </row>
    <row r="222" spans="1:11" s="64" customFormat="1" ht="12.75">
      <c r="A222" s="77" t="s">
        <v>113</v>
      </c>
      <c r="B222" s="86" t="s">
        <v>33</v>
      </c>
      <c r="C222" s="86" t="s">
        <v>4</v>
      </c>
      <c r="D222" s="86" t="s">
        <v>5</v>
      </c>
      <c r="E222" s="83">
        <v>75004</v>
      </c>
      <c r="F222" s="83">
        <v>99110</v>
      </c>
      <c r="G222" s="86"/>
      <c r="H222" s="79">
        <f t="shared" si="33"/>
        <v>2177</v>
      </c>
      <c r="I222" s="79">
        <f t="shared" si="33"/>
        <v>775.5</v>
      </c>
      <c r="J222" s="79">
        <f t="shared" si="33"/>
        <v>-1401.5</v>
      </c>
      <c r="K222" s="79">
        <f t="shared" si="30"/>
        <v>-64.37758383096005</v>
      </c>
    </row>
    <row r="223" spans="1:11" s="64" customFormat="1" ht="12.75">
      <c r="A223" s="77" t="s">
        <v>66</v>
      </c>
      <c r="B223" s="86" t="s">
        <v>33</v>
      </c>
      <c r="C223" s="86" t="s">
        <v>4</v>
      </c>
      <c r="D223" s="86" t="s">
        <v>5</v>
      </c>
      <c r="E223" s="83">
        <v>75004</v>
      </c>
      <c r="F223" s="83">
        <v>99110</v>
      </c>
      <c r="G223" s="86" t="s">
        <v>64</v>
      </c>
      <c r="H223" s="79">
        <f t="shared" si="33"/>
        <v>2177</v>
      </c>
      <c r="I223" s="79">
        <f t="shared" si="33"/>
        <v>775.5</v>
      </c>
      <c r="J223" s="79">
        <f t="shared" si="33"/>
        <v>-1401.5</v>
      </c>
      <c r="K223" s="79">
        <f t="shared" si="30"/>
        <v>-64.37758383096005</v>
      </c>
    </row>
    <row r="224" spans="1:12" s="64" customFormat="1" ht="25.5">
      <c r="A224" s="77" t="s">
        <v>95</v>
      </c>
      <c r="B224" s="86" t="s">
        <v>33</v>
      </c>
      <c r="C224" s="86" t="s">
        <v>4</v>
      </c>
      <c r="D224" s="86" t="s">
        <v>5</v>
      </c>
      <c r="E224" s="83">
        <v>75004</v>
      </c>
      <c r="F224" s="83">
        <v>99110</v>
      </c>
      <c r="G224" s="86" t="s">
        <v>94</v>
      </c>
      <c r="H224" s="85">
        <f>2077+100</f>
        <v>2177</v>
      </c>
      <c r="I224" s="85">
        <v>775.5</v>
      </c>
      <c r="J224" s="85">
        <f>I224-H224</f>
        <v>-1401.5</v>
      </c>
      <c r="K224" s="79">
        <f t="shared" si="30"/>
        <v>-64.37758383096005</v>
      </c>
      <c r="L224" s="104" t="s">
        <v>408</v>
      </c>
    </row>
    <row r="225" spans="1:11" s="64" customFormat="1" ht="12.75">
      <c r="A225" s="94" t="s">
        <v>189</v>
      </c>
      <c r="B225" s="86" t="s">
        <v>33</v>
      </c>
      <c r="C225" s="86" t="s">
        <v>4</v>
      </c>
      <c r="D225" s="86" t="s">
        <v>5</v>
      </c>
      <c r="E225" s="83">
        <v>75006</v>
      </c>
      <c r="F225" s="82" t="s">
        <v>141</v>
      </c>
      <c r="G225" s="86"/>
      <c r="H225" s="79">
        <f>H226</f>
        <v>949.5</v>
      </c>
      <c r="I225" s="79">
        <f>I226</f>
        <v>326.1</v>
      </c>
      <c r="J225" s="79">
        <f>J226</f>
        <v>-623.4</v>
      </c>
      <c r="K225" s="79">
        <f t="shared" si="30"/>
        <v>-65.65560821484992</v>
      </c>
    </row>
    <row r="226" spans="1:11" s="64" customFormat="1" ht="12.75">
      <c r="A226" s="94" t="s">
        <v>114</v>
      </c>
      <c r="B226" s="86" t="s">
        <v>33</v>
      </c>
      <c r="C226" s="86" t="s">
        <v>4</v>
      </c>
      <c r="D226" s="86" t="s">
        <v>5</v>
      </c>
      <c r="E226" s="83">
        <v>75006</v>
      </c>
      <c r="F226" s="83">
        <v>99130</v>
      </c>
      <c r="G226" s="86"/>
      <c r="H226" s="79">
        <f>H227+H229</f>
        <v>949.5</v>
      </c>
      <c r="I226" s="79">
        <f>I227+I229</f>
        <v>326.1</v>
      </c>
      <c r="J226" s="79">
        <f>J227+J229</f>
        <v>-623.4</v>
      </c>
      <c r="K226" s="79">
        <f t="shared" si="30"/>
        <v>-65.65560821484992</v>
      </c>
    </row>
    <row r="227" spans="1:11" s="64" customFormat="1" ht="12.75">
      <c r="A227" s="77" t="s">
        <v>62</v>
      </c>
      <c r="B227" s="86" t="s">
        <v>33</v>
      </c>
      <c r="C227" s="86" t="s">
        <v>4</v>
      </c>
      <c r="D227" s="86" t="s">
        <v>5</v>
      </c>
      <c r="E227" s="83">
        <v>75006</v>
      </c>
      <c r="F227" s="83">
        <v>99130</v>
      </c>
      <c r="G227" s="86" t="s">
        <v>61</v>
      </c>
      <c r="H227" s="79">
        <f>H228</f>
        <v>829.5</v>
      </c>
      <c r="I227" s="79">
        <f>I228</f>
        <v>296.1</v>
      </c>
      <c r="J227" s="79">
        <f>J228</f>
        <v>-533.4</v>
      </c>
      <c r="K227" s="79">
        <f t="shared" si="30"/>
        <v>-64.30379746835443</v>
      </c>
    </row>
    <row r="228" spans="1:12" s="64" customFormat="1" ht="25.5">
      <c r="A228" s="77" t="s">
        <v>63</v>
      </c>
      <c r="B228" s="86" t="s">
        <v>33</v>
      </c>
      <c r="C228" s="86" t="s">
        <v>4</v>
      </c>
      <c r="D228" s="86" t="s">
        <v>5</v>
      </c>
      <c r="E228" s="83">
        <v>75006</v>
      </c>
      <c r="F228" s="83">
        <v>99130</v>
      </c>
      <c r="G228" s="86" t="s">
        <v>17</v>
      </c>
      <c r="H228" s="85">
        <v>829.5</v>
      </c>
      <c r="I228" s="85">
        <v>296.1</v>
      </c>
      <c r="J228" s="85">
        <f>I228-H228</f>
        <v>-533.4</v>
      </c>
      <c r="K228" s="79">
        <f t="shared" si="30"/>
        <v>-64.30379746835443</v>
      </c>
      <c r="L228" s="104" t="s">
        <v>408</v>
      </c>
    </row>
    <row r="229" spans="1:11" s="64" customFormat="1" ht="12.75">
      <c r="A229" s="77" t="s">
        <v>66</v>
      </c>
      <c r="B229" s="86" t="s">
        <v>33</v>
      </c>
      <c r="C229" s="86" t="s">
        <v>4</v>
      </c>
      <c r="D229" s="86" t="s">
        <v>5</v>
      </c>
      <c r="E229" s="83">
        <v>75006</v>
      </c>
      <c r="F229" s="83">
        <v>99130</v>
      </c>
      <c r="G229" s="86" t="s">
        <v>64</v>
      </c>
      <c r="H229" s="79">
        <f>H230</f>
        <v>120</v>
      </c>
      <c r="I229" s="79">
        <f>I230</f>
        <v>30</v>
      </c>
      <c r="J229" s="79">
        <f>J230</f>
        <v>-90</v>
      </c>
      <c r="K229" s="79">
        <f t="shared" si="30"/>
        <v>-75</v>
      </c>
    </row>
    <row r="230" spans="1:12" s="64" customFormat="1" ht="25.5">
      <c r="A230" s="77" t="s">
        <v>95</v>
      </c>
      <c r="B230" s="86" t="s">
        <v>33</v>
      </c>
      <c r="C230" s="86" t="s">
        <v>4</v>
      </c>
      <c r="D230" s="86" t="s">
        <v>5</v>
      </c>
      <c r="E230" s="83">
        <v>75006</v>
      </c>
      <c r="F230" s="83">
        <v>99130</v>
      </c>
      <c r="G230" s="86" t="s">
        <v>94</v>
      </c>
      <c r="H230" s="85">
        <v>120</v>
      </c>
      <c r="I230" s="85">
        <v>30</v>
      </c>
      <c r="J230" s="85">
        <f>I230-H230</f>
        <v>-90</v>
      </c>
      <c r="K230" s="79">
        <f t="shared" si="30"/>
        <v>-75</v>
      </c>
      <c r="L230" s="104" t="s">
        <v>408</v>
      </c>
    </row>
    <row r="231" spans="1:11" s="64" customFormat="1" ht="12.75">
      <c r="A231" s="77" t="s">
        <v>260</v>
      </c>
      <c r="B231" s="86" t="s">
        <v>33</v>
      </c>
      <c r="C231" s="86" t="s">
        <v>4</v>
      </c>
      <c r="D231" s="86" t="s">
        <v>5</v>
      </c>
      <c r="E231" s="83">
        <v>75007</v>
      </c>
      <c r="F231" s="82" t="s">
        <v>141</v>
      </c>
      <c r="G231" s="86"/>
      <c r="H231" s="79">
        <f aca="true" t="shared" si="34" ref="H231:J233">H232</f>
        <v>300.9</v>
      </c>
      <c r="I231" s="79">
        <f t="shared" si="34"/>
        <v>0</v>
      </c>
      <c r="J231" s="79">
        <f t="shared" si="34"/>
        <v>-300.9</v>
      </c>
      <c r="K231" s="79">
        <f t="shared" si="30"/>
        <v>-100</v>
      </c>
    </row>
    <row r="232" spans="1:11" s="64" customFormat="1" ht="12.75">
      <c r="A232" s="77" t="s">
        <v>261</v>
      </c>
      <c r="B232" s="86" t="s">
        <v>33</v>
      </c>
      <c r="C232" s="86" t="s">
        <v>4</v>
      </c>
      <c r="D232" s="86" t="s">
        <v>5</v>
      </c>
      <c r="E232" s="83">
        <v>75007</v>
      </c>
      <c r="F232" s="83">
        <v>99110</v>
      </c>
      <c r="G232" s="86"/>
      <c r="H232" s="79">
        <f t="shared" si="34"/>
        <v>300.9</v>
      </c>
      <c r="I232" s="79">
        <f t="shared" si="34"/>
        <v>0</v>
      </c>
      <c r="J232" s="79">
        <f t="shared" si="34"/>
        <v>-300.9</v>
      </c>
      <c r="K232" s="79">
        <f t="shared" si="30"/>
        <v>-100</v>
      </c>
    </row>
    <row r="233" spans="1:11" s="64" customFormat="1" ht="12.75">
      <c r="A233" s="77" t="s">
        <v>66</v>
      </c>
      <c r="B233" s="86" t="s">
        <v>33</v>
      </c>
      <c r="C233" s="86" t="s">
        <v>4</v>
      </c>
      <c r="D233" s="86" t="s">
        <v>5</v>
      </c>
      <c r="E233" s="83">
        <v>75007</v>
      </c>
      <c r="F233" s="83">
        <v>99110</v>
      </c>
      <c r="G233" s="86" t="s">
        <v>64</v>
      </c>
      <c r="H233" s="79">
        <f t="shared" si="34"/>
        <v>300.9</v>
      </c>
      <c r="I233" s="79">
        <f t="shared" si="34"/>
        <v>0</v>
      </c>
      <c r="J233" s="79">
        <f t="shared" si="34"/>
        <v>-300.9</v>
      </c>
      <c r="K233" s="79">
        <f t="shared" si="30"/>
        <v>-100</v>
      </c>
    </row>
    <row r="234" spans="1:12" s="64" customFormat="1" ht="25.5">
      <c r="A234" s="77" t="s">
        <v>95</v>
      </c>
      <c r="B234" s="86" t="s">
        <v>33</v>
      </c>
      <c r="C234" s="86" t="s">
        <v>4</v>
      </c>
      <c r="D234" s="86" t="s">
        <v>5</v>
      </c>
      <c r="E234" s="83">
        <v>75007</v>
      </c>
      <c r="F234" s="83">
        <v>99110</v>
      </c>
      <c r="G234" s="86" t="s">
        <v>94</v>
      </c>
      <c r="H234" s="79">
        <v>300.9</v>
      </c>
      <c r="I234" s="79">
        <v>0</v>
      </c>
      <c r="J234" s="85">
        <f>I234-H234</f>
        <v>-300.9</v>
      </c>
      <c r="K234" s="79">
        <f t="shared" si="30"/>
        <v>-100</v>
      </c>
      <c r="L234" s="104" t="s">
        <v>408</v>
      </c>
    </row>
    <row r="235" spans="1:11" s="64" customFormat="1" ht="25.5">
      <c r="A235" s="77" t="s">
        <v>342</v>
      </c>
      <c r="B235" s="86" t="s">
        <v>33</v>
      </c>
      <c r="C235" s="86" t="s">
        <v>4</v>
      </c>
      <c r="D235" s="86" t="s">
        <v>5</v>
      </c>
      <c r="E235" s="81">
        <v>76000</v>
      </c>
      <c r="F235" s="82" t="s">
        <v>141</v>
      </c>
      <c r="G235" s="86"/>
      <c r="H235" s="79">
        <f aca="true" t="shared" si="35" ref="H235:J239">H236</f>
        <v>300.7</v>
      </c>
      <c r="I235" s="79">
        <f t="shared" si="35"/>
        <v>55</v>
      </c>
      <c r="J235" s="79">
        <f t="shared" si="35"/>
        <v>-245.7</v>
      </c>
      <c r="K235" s="79">
        <f t="shared" si="30"/>
        <v>-81.7093448619887</v>
      </c>
    </row>
    <row r="236" spans="1:11" s="64" customFormat="1" ht="25.5">
      <c r="A236" s="77" t="s">
        <v>343</v>
      </c>
      <c r="B236" s="86" t="s">
        <v>33</v>
      </c>
      <c r="C236" s="86" t="s">
        <v>4</v>
      </c>
      <c r="D236" s="86" t="s">
        <v>5</v>
      </c>
      <c r="E236" s="83">
        <v>76001</v>
      </c>
      <c r="F236" s="82" t="s">
        <v>141</v>
      </c>
      <c r="G236" s="86"/>
      <c r="H236" s="79">
        <f t="shared" si="35"/>
        <v>300.7</v>
      </c>
      <c r="I236" s="79">
        <f t="shared" si="35"/>
        <v>55</v>
      </c>
      <c r="J236" s="79">
        <f t="shared" si="35"/>
        <v>-245.7</v>
      </c>
      <c r="K236" s="79">
        <f t="shared" si="30"/>
        <v>-81.7093448619887</v>
      </c>
    </row>
    <row r="237" spans="1:11" s="64" customFormat="1" ht="12.75">
      <c r="A237" s="77" t="s">
        <v>344</v>
      </c>
      <c r="B237" s="86" t="s">
        <v>33</v>
      </c>
      <c r="C237" s="86" t="s">
        <v>4</v>
      </c>
      <c r="D237" s="86" t="s">
        <v>5</v>
      </c>
      <c r="E237" s="83">
        <v>76001</v>
      </c>
      <c r="F237" s="82" t="s">
        <v>141</v>
      </c>
      <c r="G237" s="86"/>
      <c r="H237" s="79">
        <f t="shared" si="35"/>
        <v>300.7</v>
      </c>
      <c r="I237" s="79">
        <f t="shared" si="35"/>
        <v>55</v>
      </c>
      <c r="J237" s="79">
        <f t="shared" si="35"/>
        <v>-245.7</v>
      </c>
      <c r="K237" s="79">
        <f t="shared" si="30"/>
        <v>-81.7093448619887</v>
      </c>
    </row>
    <row r="238" spans="1:11" s="64" customFormat="1" ht="12.75">
      <c r="A238" s="77" t="s">
        <v>345</v>
      </c>
      <c r="B238" s="86" t="s">
        <v>33</v>
      </c>
      <c r="C238" s="86" t="s">
        <v>4</v>
      </c>
      <c r="D238" s="86" t="s">
        <v>5</v>
      </c>
      <c r="E238" s="83">
        <v>76001</v>
      </c>
      <c r="F238" s="83">
        <v>99130</v>
      </c>
      <c r="G238" s="86"/>
      <c r="H238" s="79">
        <f t="shared" si="35"/>
        <v>300.7</v>
      </c>
      <c r="I238" s="79">
        <f t="shared" si="35"/>
        <v>55</v>
      </c>
      <c r="J238" s="79">
        <f t="shared" si="35"/>
        <v>-245.7</v>
      </c>
      <c r="K238" s="79">
        <f t="shared" si="30"/>
        <v>-81.7093448619887</v>
      </c>
    </row>
    <row r="239" spans="1:11" s="64" customFormat="1" ht="12.75">
      <c r="A239" s="77" t="s">
        <v>66</v>
      </c>
      <c r="B239" s="86" t="s">
        <v>33</v>
      </c>
      <c r="C239" s="86" t="s">
        <v>4</v>
      </c>
      <c r="D239" s="86" t="s">
        <v>5</v>
      </c>
      <c r="E239" s="83">
        <v>76001</v>
      </c>
      <c r="F239" s="83">
        <v>99130</v>
      </c>
      <c r="G239" s="86" t="s">
        <v>64</v>
      </c>
      <c r="H239" s="79">
        <f t="shared" si="35"/>
        <v>300.7</v>
      </c>
      <c r="I239" s="79">
        <f t="shared" si="35"/>
        <v>55</v>
      </c>
      <c r="J239" s="79">
        <f t="shared" si="35"/>
        <v>-245.7</v>
      </c>
      <c r="K239" s="79">
        <f t="shared" si="30"/>
        <v>-81.7093448619887</v>
      </c>
    </row>
    <row r="240" spans="1:12" s="64" customFormat="1" ht="25.5">
      <c r="A240" s="77" t="s">
        <v>95</v>
      </c>
      <c r="B240" s="86" t="s">
        <v>33</v>
      </c>
      <c r="C240" s="86" t="s">
        <v>4</v>
      </c>
      <c r="D240" s="86" t="s">
        <v>5</v>
      </c>
      <c r="E240" s="83">
        <v>76001</v>
      </c>
      <c r="F240" s="83">
        <v>99130</v>
      </c>
      <c r="G240" s="86" t="s">
        <v>94</v>
      </c>
      <c r="H240" s="79">
        <v>300.7</v>
      </c>
      <c r="I240" s="79">
        <v>55</v>
      </c>
      <c r="J240" s="85">
        <f>I240-H240</f>
        <v>-245.7</v>
      </c>
      <c r="K240" s="79">
        <f t="shared" si="30"/>
        <v>-81.7093448619887</v>
      </c>
      <c r="L240" s="104" t="s">
        <v>408</v>
      </c>
    </row>
    <row r="241" spans="1:11" s="64" customFormat="1" ht="25.5">
      <c r="A241" s="77" t="s">
        <v>346</v>
      </c>
      <c r="B241" s="86" t="s">
        <v>33</v>
      </c>
      <c r="C241" s="86" t="s">
        <v>4</v>
      </c>
      <c r="D241" s="86" t="s">
        <v>5</v>
      </c>
      <c r="E241" s="83">
        <v>79000</v>
      </c>
      <c r="F241" s="82" t="s">
        <v>141</v>
      </c>
      <c r="G241" s="86"/>
      <c r="H241" s="79">
        <f aca="true" t="shared" si="36" ref="H241:J244">H242</f>
        <v>50</v>
      </c>
      <c r="I241" s="79">
        <f t="shared" si="36"/>
        <v>0</v>
      </c>
      <c r="J241" s="79">
        <f t="shared" si="36"/>
        <v>-50</v>
      </c>
      <c r="K241" s="79">
        <f t="shared" si="30"/>
        <v>-100</v>
      </c>
    </row>
    <row r="242" spans="1:11" s="64" customFormat="1" ht="12.75">
      <c r="A242" s="77" t="s">
        <v>347</v>
      </c>
      <c r="B242" s="86" t="s">
        <v>33</v>
      </c>
      <c r="C242" s="86" t="s">
        <v>4</v>
      </c>
      <c r="D242" s="86" t="s">
        <v>5</v>
      </c>
      <c r="E242" s="83">
        <v>79007</v>
      </c>
      <c r="F242" s="82" t="s">
        <v>141</v>
      </c>
      <c r="G242" s="86"/>
      <c r="H242" s="79">
        <f t="shared" si="36"/>
        <v>50</v>
      </c>
      <c r="I242" s="79">
        <f t="shared" si="36"/>
        <v>0</v>
      </c>
      <c r="J242" s="79">
        <f t="shared" si="36"/>
        <v>-50</v>
      </c>
      <c r="K242" s="79">
        <f t="shared" si="30"/>
        <v>-100</v>
      </c>
    </row>
    <row r="243" spans="1:11" s="64" customFormat="1" ht="12.75">
      <c r="A243" s="77" t="s">
        <v>348</v>
      </c>
      <c r="B243" s="86" t="s">
        <v>33</v>
      </c>
      <c r="C243" s="86" t="s">
        <v>4</v>
      </c>
      <c r="D243" s="86" t="s">
        <v>5</v>
      </c>
      <c r="E243" s="83">
        <v>79007</v>
      </c>
      <c r="F243" s="83">
        <v>99310</v>
      </c>
      <c r="G243" s="86"/>
      <c r="H243" s="79">
        <f t="shared" si="36"/>
        <v>50</v>
      </c>
      <c r="I243" s="79">
        <f t="shared" si="36"/>
        <v>0</v>
      </c>
      <c r="J243" s="79">
        <f t="shared" si="36"/>
        <v>-50</v>
      </c>
      <c r="K243" s="79">
        <f t="shared" si="30"/>
        <v>-100</v>
      </c>
    </row>
    <row r="244" spans="1:11" s="64" customFormat="1" ht="12.75">
      <c r="A244" s="77" t="s">
        <v>66</v>
      </c>
      <c r="B244" s="86" t="s">
        <v>33</v>
      </c>
      <c r="C244" s="86" t="s">
        <v>4</v>
      </c>
      <c r="D244" s="86" t="s">
        <v>5</v>
      </c>
      <c r="E244" s="83">
        <v>79007</v>
      </c>
      <c r="F244" s="83">
        <v>99310</v>
      </c>
      <c r="G244" s="86" t="s">
        <v>64</v>
      </c>
      <c r="H244" s="79">
        <f t="shared" si="36"/>
        <v>50</v>
      </c>
      <c r="I244" s="79">
        <f t="shared" si="36"/>
        <v>0</v>
      </c>
      <c r="J244" s="79">
        <f t="shared" si="36"/>
        <v>-50</v>
      </c>
      <c r="K244" s="79">
        <f t="shared" si="30"/>
        <v>-100</v>
      </c>
    </row>
    <row r="245" spans="1:12" s="64" customFormat="1" ht="25.5">
      <c r="A245" s="77" t="s">
        <v>95</v>
      </c>
      <c r="B245" s="86" t="s">
        <v>33</v>
      </c>
      <c r="C245" s="86" t="s">
        <v>4</v>
      </c>
      <c r="D245" s="86" t="s">
        <v>5</v>
      </c>
      <c r="E245" s="83">
        <v>79007</v>
      </c>
      <c r="F245" s="83">
        <v>99310</v>
      </c>
      <c r="G245" s="86" t="s">
        <v>94</v>
      </c>
      <c r="H245" s="85">
        <v>50</v>
      </c>
      <c r="I245" s="85">
        <v>0</v>
      </c>
      <c r="J245" s="85">
        <f>I245-H245</f>
        <v>-50</v>
      </c>
      <c r="K245" s="79">
        <f t="shared" si="30"/>
        <v>-100</v>
      </c>
      <c r="L245" s="104" t="s">
        <v>408</v>
      </c>
    </row>
    <row r="246" spans="1:11" s="64" customFormat="1" ht="25.5">
      <c r="A246" s="77" t="s">
        <v>349</v>
      </c>
      <c r="B246" s="86" t="s">
        <v>33</v>
      </c>
      <c r="C246" s="86" t="s">
        <v>4</v>
      </c>
      <c r="D246" s="86" t="s">
        <v>5</v>
      </c>
      <c r="E246" s="83" t="s">
        <v>350</v>
      </c>
      <c r="F246" s="82" t="s">
        <v>141</v>
      </c>
      <c r="G246" s="86"/>
      <c r="H246" s="85">
        <f>H251+H247</f>
        <v>3935.4</v>
      </c>
      <c r="I246" s="85">
        <f>I251+I247</f>
        <v>308.10000000000025</v>
      </c>
      <c r="J246" s="85">
        <f>J251+J247</f>
        <v>-3627.2999999999997</v>
      </c>
      <c r="K246" s="79">
        <f t="shared" si="30"/>
        <v>-92.17106266199116</v>
      </c>
    </row>
    <row r="247" spans="1:11" s="64" customFormat="1" ht="12.75">
      <c r="A247" s="77" t="s">
        <v>351</v>
      </c>
      <c r="B247" s="86" t="s">
        <v>33</v>
      </c>
      <c r="C247" s="86" t="s">
        <v>4</v>
      </c>
      <c r="D247" s="86" t="s">
        <v>5</v>
      </c>
      <c r="E247" s="83" t="s">
        <v>352</v>
      </c>
      <c r="F247" s="82" t="s">
        <v>141</v>
      </c>
      <c r="G247" s="86"/>
      <c r="H247" s="85">
        <f aca="true" t="shared" si="37" ref="H247:J249">H248</f>
        <v>2834.7</v>
      </c>
      <c r="I247" s="85">
        <f t="shared" si="37"/>
        <v>0</v>
      </c>
      <c r="J247" s="85">
        <f t="shared" si="37"/>
        <v>-2834.7</v>
      </c>
      <c r="K247" s="79">
        <f t="shared" si="30"/>
        <v>-100</v>
      </c>
    </row>
    <row r="248" spans="1:11" s="64" customFormat="1" ht="37.5" customHeight="1">
      <c r="A248" s="77" t="s">
        <v>353</v>
      </c>
      <c r="B248" s="86" t="s">
        <v>33</v>
      </c>
      <c r="C248" s="86" t="s">
        <v>4</v>
      </c>
      <c r="D248" s="86" t="s">
        <v>5</v>
      </c>
      <c r="E248" s="83" t="s">
        <v>352</v>
      </c>
      <c r="F248" s="98" t="s">
        <v>354</v>
      </c>
      <c r="G248" s="86"/>
      <c r="H248" s="85">
        <f t="shared" si="37"/>
        <v>2834.7</v>
      </c>
      <c r="I248" s="85">
        <f t="shared" si="37"/>
        <v>0</v>
      </c>
      <c r="J248" s="85">
        <f t="shared" si="37"/>
        <v>-2834.7</v>
      </c>
      <c r="K248" s="79">
        <f t="shared" si="30"/>
        <v>-100</v>
      </c>
    </row>
    <row r="249" spans="1:11" s="64" customFormat="1" ht="12.75">
      <c r="A249" s="77" t="s">
        <v>62</v>
      </c>
      <c r="B249" s="86" t="s">
        <v>33</v>
      </c>
      <c r="C249" s="86" t="s">
        <v>4</v>
      </c>
      <c r="D249" s="86" t="s">
        <v>5</v>
      </c>
      <c r="E249" s="83" t="s">
        <v>352</v>
      </c>
      <c r="F249" s="98" t="s">
        <v>354</v>
      </c>
      <c r="G249" s="86" t="s">
        <v>61</v>
      </c>
      <c r="H249" s="79">
        <f t="shared" si="37"/>
        <v>2834.7</v>
      </c>
      <c r="I249" s="79">
        <f t="shared" si="37"/>
        <v>0</v>
      </c>
      <c r="J249" s="79">
        <f t="shared" si="37"/>
        <v>-2834.7</v>
      </c>
      <c r="K249" s="79">
        <f t="shared" si="30"/>
        <v>-100</v>
      </c>
    </row>
    <row r="250" spans="1:12" s="64" customFormat="1" ht="25.5">
      <c r="A250" s="77" t="s">
        <v>63</v>
      </c>
      <c r="B250" s="86" t="s">
        <v>33</v>
      </c>
      <c r="C250" s="86" t="s">
        <v>4</v>
      </c>
      <c r="D250" s="86" t="s">
        <v>5</v>
      </c>
      <c r="E250" s="83" t="s">
        <v>352</v>
      </c>
      <c r="F250" s="98" t="s">
        <v>354</v>
      </c>
      <c r="G250" s="86" t="s">
        <v>17</v>
      </c>
      <c r="H250" s="85">
        <v>2834.7</v>
      </c>
      <c r="I250" s="85">
        <v>0</v>
      </c>
      <c r="J250" s="85">
        <f>I250-H250</f>
        <v>-2834.7</v>
      </c>
      <c r="K250" s="79">
        <f t="shared" si="30"/>
        <v>-100</v>
      </c>
      <c r="L250" s="104" t="s">
        <v>408</v>
      </c>
    </row>
    <row r="251" spans="1:11" s="64" customFormat="1" ht="12.75">
      <c r="A251" s="77" t="s">
        <v>355</v>
      </c>
      <c r="B251" s="86" t="s">
        <v>33</v>
      </c>
      <c r="C251" s="86" t="s">
        <v>4</v>
      </c>
      <c r="D251" s="86" t="s">
        <v>5</v>
      </c>
      <c r="E251" s="83" t="s">
        <v>356</v>
      </c>
      <c r="F251" s="82" t="s">
        <v>141</v>
      </c>
      <c r="G251" s="86"/>
      <c r="H251" s="85">
        <f aca="true" t="shared" si="38" ref="H251:J255">H252</f>
        <v>1100.7000000000003</v>
      </c>
      <c r="I251" s="85">
        <f t="shared" si="38"/>
        <v>308.10000000000025</v>
      </c>
      <c r="J251" s="85">
        <f t="shared" si="38"/>
        <v>-792.6</v>
      </c>
      <c r="K251" s="79">
        <f t="shared" si="30"/>
        <v>-72.00872172254019</v>
      </c>
    </row>
    <row r="252" spans="1:11" s="64" customFormat="1" ht="12.75">
      <c r="A252" s="77" t="s">
        <v>357</v>
      </c>
      <c r="B252" s="86" t="s">
        <v>33</v>
      </c>
      <c r="C252" s="86" t="s">
        <v>4</v>
      </c>
      <c r="D252" s="86" t="s">
        <v>5</v>
      </c>
      <c r="E252" s="83" t="s">
        <v>356</v>
      </c>
      <c r="F252" s="98">
        <v>99110</v>
      </c>
      <c r="G252" s="86"/>
      <c r="H252" s="85">
        <f>H253+H255</f>
        <v>1100.7000000000003</v>
      </c>
      <c r="I252" s="85">
        <f>I253+I255</f>
        <v>308.10000000000025</v>
      </c>
      <c r="J252" s="85">
        <f>J253+J255</f>
        <v>-792.6</v>
      </c>
      <c r="K252" s="79">
        <f t="shared" si="30"/>
        <v>-72.00872172254019</v>
      </c>
    </row>
    <row r="253" spans="1:11" s="64" customFormat="1" ht="12.75">
      <c r="A253" s="77" t="s">
        <v>62</v>
      </c>
      <c r="B253" s="86" t="s">
        <v>33</v>
      </c>
      <c r="C253" s="86" t="s">
        <v>4</v>
      </c>
      <c r="D253" s="86" t="s">
        <v>5</v>
      </c>
      <c r="E253" s="83" t="s">
        <v>356</v>
      </c>
      <c r="F253" s="98">
        <v>99110</v>
      </c>
      <c r="G253" s="86" t="s">
        <v>61</v>
      </c>
      <c r="H253" s="79">
        <f t="shared" si="38"/>
        <v>308.10000000000025</v>
      </c>
      <c r="I253" s="79">
        <f t="shared" si="38"/>
        <v>308.10000000000025</v>
      </c>
      <c r="J253" s="79">
        <f t="shared" si="38"/>
        <v>0</v>
      </c>
      <c r="K253" s="79">
        <f t="shared" si="30"/>
        <v>0</v>
      </c>
    </row>
    <row r="254" spans="1:12" s="64" customFormat="1" ht="25.5">
      <c r="A254" s="77" t="s">
        <v>63</v>
      </c>
      <c r="B254" s="86" t="s">
        <v>33</v>
      </c>
      <c r="C254" s="86" t="s">
        <v>4</v>
      </c>
      <c r="D254" s="86" t="s">
        <v>5</v>
      </c>
      <c r="E254" s="83" t="s">
        <v>356</v>
      </c>
      <c r="F254" s="98">
        <v>99110</v>
      </c>
      <c r="G254" s="86" t="s">
        <v>17</v>
      </c>
      <c r="H254" s="85">
        <f>593.6+593.2-86.1-792.6</f>
        <v>308.10000000000025</v>
      </c>
      <c r="I254" s="85">
        <f>593.6+593.2-86.1-792.6</f>
        <v>308.10000000000025</v>
      </c>
      <c r="J254" s="85">
        <f>I254-H254</f>
        <v>0</v>
      </c>
      <c r="K254" s="79">
        <f t="shared" si="30"/>
        <v>0</v>
      </c>
      <c r="L254" s="104" t="s">
        <v>408</v>
      </c>
    </row>
    <row r="255" spans="1:11" s="64" customFormat="1" ht="12.75">
      <c r="A255" s="77" t="s">
        <v>66</v>
      </c>
      <c r="B255" s="86" t="s">
        <v>33</v>
      </c>
      <c r="C255" s="86" t="s">
        <v>4</v>
      </c>
      <c r="D255" s="86" t="s">
        <v>5</v>
      </c>
      <c r="E255" s="83" t="s">
        <v>356</v>
      </c>
      <c r="F255" s="98">
        <v>99110</v>
      </c>
      <c r="G255" s="86" t="s">
        <v>64</v>
      </c>
      <c r="H255" s="79">
        <f t="shared" si="38"/>
        <v>792.6</v>
      </c>
      <c r="I255" s="79">
        <f t="shared" si="38"/>
        <v>0</v>
      </c>
      <c r="J255" s="79">
        <f t="shared" si="38"/>
        <v>-792.6</v>
      </c>
      <c r="K255" s="79">
        <f t="shared" si="30"/>
        <v>-100</v>
      </c>
    </row>
    <row r="256" spans="1:12" s="64" customFormat="1" ht="25.5">
      <c r="A256" s="77" t="s">
        <v>95</v>
      </c>
      <c r="B256" s="86" t="s">
        <v>33</v>
      </c>
      <c r="C256" s="86" t="s">
        <v>4</v>
      </c>
      <c r="D256" s="86" t="s">
        <v>5</v>
      </c>
      <c r="E256" s="83" t="s">
        <v>356</v>
      </c>
      <c r="F256" s="98">
        <v>99110</v>
      </c>
      <c r="G256" s="86" t="s">
        <v>94</v>
      </c>
      <c r="H256" s="85">
        <v>792.6</v>
      </c>
      <c r="I256" s="85">
        <v>0</v>
      </c>
      <c r="J256" s="85">
        <f>I256-H256</f>
        <v>-792.6</v>
      </c>
      <c r="K256" s="79">
        <f t="shared" si="30"/>
        <v>-100</v>
      </c>
      <c r="L256" s="104" t="s">
        <v>408</v>
      </c>
    </row>
    <row r="257" spans="1:11" s="64" customFormat="1" ht="12.75">
      <c r="A257" s="77" t="s">
        <v>127</v>
      </c>
      <c r="B257" s="86" t="s">
        <v>33</v>
      </c>
      <c r="C257" s="86" t="s">
        <v>4</v>
      </c>
      <c r="D257" s="86" t="s">
        <v>5</v>
      </c>
      <c r="E257" s="81">
        <v>99000</v>
      </c>
      <c r="F257" s="82" t="s">
        <v>141</v>
      </c>
      <c r="G257" s="86"/>
      <c r="H257" s="79">
        <f>H258</f>
        <v>720</v>
      </c>
      <c r="I257" s="79">
        <f>I258</f>
        <v>100</v>
      </c>
      <c r="J257" s="79">
        <f>J258</f>
        <v>-620</v>
      </c>
      <c r="K257" s="79">
        <f t="shared" si="30"/>
        <v>-86.11111111111111</v>
      </c>
    </row>
    <row r="258" spans="1:11" s="64" customFormat="1" ht="12.75">
      <c r="A258" s="77" t="s">
        <v>130</v>
      </c>
      <c r="B258" s="86" t="s">
        <v>33</v>
      </c>
      <c r="C258" s="86" t="s">
        <v>4</v>
      </c>
      <c r="D258" s="86" t="s">
        <v>5</v>
      </c>
      <c r="E258" s="81">
        <v>99300</v>
      </c>
      <c r="F258" s="82" t="s">
        <v>141</v>
      </c>
      <c r="G258" s="86"/>
      <c r="H258" s="79">
        <f>H259+H265+H262</f>
        <v>720</v>
      </c>
      <c r="I258" s="79">
        <f>I259+I265+I262</f>
        <v>100</v>
      </c>
      <c r="J258" s="79">
        <f>J259+J265+J262</f>
        <v>-620</v>
      </c>
      <c r="K258" s="79">
        <f t="shared" si="30"/>
        <v>-86.11111111111111</v>
      </c>
    </row>
    <row r="259" spans="1:11" s="64" customFormat="1" ht="12.75">
      <c r="A259" s="77" t="s">
        <v>358</v>
      </c>
      <c r="B259" s="86" t="s">
        <v>33</v>
      </c>
      <c r="C259" s="86" t="s">
        <v>4</v>
      </c>
      <c r="D259" s="86" t="s">
        <v>5</v>
      </c>
      <c r="E259" s="81">
        <v>99300</v>
      </c>
      <c r="F259" s="81">
        <v>69100</v>
      </c>
      <c r="G259" s="86"/>
      <c r="H259" s="79">
        <f aca="true" t="shared" si="39" ref="H259:J266">H260</f>
        <v>100</v>
      </c>
      <c r="I259" s="79">
        <f t="shared" si="39"/>
        <v>0</v>
      </c>
      <c r="J259" s="79">
        <f t="shared" si="39"/>
        <v>-100</v>
      </c>
      <c r="K259" s="79">
        <f t="shared" si="30"/>
        <v>-100</v>
      </c>
    </row>
    <row r="260" spans="1:11" s="64" customFormat="1" ht="12.75">
      <c r="A260" s="77" t="s">
        <v>62</v>
      </c>
      <c r="B260" s="86" t="s">
        <v>33</v>
      </c>
      <c r="C260" s="86" t="s">
        <v>4</v>
      </c>
      <c r="D260" s="86" t="s">
        <v>5</v>
      </c>
      <c r="E260" s="81">
        <v>99300</v>
      </c>
      <c r="F260" s="81">
        <v>69100</v>
      </c>
      <c r="G260" s="86" t="s">
        <v>61</v>
      </c>
      <c r="H260" s="79">
        <f t="shared" si="39"/>
        <v>100</v>
      </c>
      <c r="I260" s="79">
        <f t="shared" si="39"/>
        <v>0</v>
      </c>
      <c r="J260" s="79">
        <f t="shared" si="39"/>
        <v>-100</v>
      </c>
      <c r="K260" s="79">
        <f t="shared" si="30"/>
        <v>-100</v>
      </c>
    </row>
    <row r="261" spans="1:12" s="64" customFormat="1" ht="25.5">
      <c r="A261" s="77" t="s">
        <v>63</v>
      </c>
      <c r="B261" s="86" t="s">
        <v>33</v>
      </c>
      <c r="C261" s="86" t="s">
        <v>4</v>
      </c>
      <c r="D261" s="86" t="s">
        <v>5</v>
      </c>
      <c r="E261" s="81">
        <v>99300</v>
      </c>
      <c r="F261" s="81">
        <v>69100</v>
      </c>
      <c r="G261" s="86" t="s">
        <v>17</v>
      </c>
      <c r="H261" s="79">
        <v>100</v>
      </c>
      <c r="I261" s="79">
        <v>0</v>
      </c>
      <c r="J261" s="85">
        <f>I261-H261</f>
        <v>-100</v>
      </c>
      <c r="K261" s="79">
        <f t="shared" si="30"/>
        <v>-100</v>
      </c>
      <c r="L261" s="104" t="s">
        <v>408</v>
      </c>
    </row>
    <row r="262" spans="1:11" s="64" customFormat="1" ht="12.75">
      <c r="A262" s="77" t="s">
        <v>359</v>
      </c>
      <c r="B262" s="86" t="s">
        <v>33</v>
      </c>
      <c r="C262" s="86" t="s">
        <v>4</v>
      </c>
      <c r="D262" s="86" t="s">
        <v>5</v>
      </c>
      <c r="E262" s="81">
        <v>99300</v>
      </c>
      <c r="F262" s="81">
        <v>99110</v>
      </c>
      <c r="G262" s="86"/>
      <c r="H262" s="79">
        <f t="shared" si="39"/>
        <v>100</v>
      </c>
      <c r="I262" s="79">
        <f t="shared" si="39"/>
        <v>100</v>
      </c>
      <c r="J262" s="79">
        <f t="shared" si="39"/>
        <v>0</v>
      </c>
      <c r="K262" s="79">
        <f t="shared" si="30"/>
        <v>0</v>
      </c>
    </row>
    <row r="263" spans="1:11" s="64" customFormat="1" ht="12.75">
      <c r="A263" s="77" t="s">
        <v>66</v>
      </c>
      <c r="B263" s="86" t="s">
        <v>33</v>
      </c>
      <c r="C263" s="86" t="s">
        <v>4</v>
      </c>
      <c r="D263" s="86" t="s">
        <v>5</v>
      </c>
      <c r="E263" s="81">
        <v>99300</v>
      </c>
      <c r="F263" s="81">
        <v>99110</v>
      </c>
      <c r="G263" s="86" t="s">
        <v>64</v>
      </c>
      <c r="H263" s="79">
        <f t="shared" si="39"/>
        <v>100</v>
      </c>
      <c r="I263" s="79">
        <f t="shared" si="39"/>
        <v>100</v>
      </c>
      <c r="J263" s="79">
        <f t="shared" si="39"/>
        <v>0</v>
      </c>
      <c r="K263" s="79">
        <f t="shared" si="30"/>
        <v>0</v>
      </c>
    </row>
    <row r="264" spans="1:12" s="64" customFormat="1" ht="25.5">
      <c r="A264" s="77" t="s">
        <v>95</v>
      </c>
      <c r="B264" s="86" t="s">
        <v>33</v>
      </c>
      <c r="C264" s="86" t="s">
        <v>4</v>
      </c>
      <c r="D264" s="86" t="s">
        <v>5</v>
      </c>
      <c r="E264" s="81">
        <v>99300</v>
      </c>
      <c r="F264" s="81">
        <v>99110</v>
      </c>
      <c r="G264" s="86" t="s">
        <v>94</v>
      </c>
      <c r="H264" s="79">
        <v>100</v>
      </c>
      <c r="I264" s="79">
        <v>100</v>
      </c>
      <c r="J264" s="85">
        <f>I264-H264</f>
        <v>0</v>
      </c>
      <c r="K264" s="79">
        <f t="shared" si="30"/>
        <v>0</v>
      </c>
      <c r="L264" s="104" t="s">
        <v>408</v>
      </c>
    </row>
    <row r="265" spans="1:11" s="64" customFormat="1" ht="12.75">
      <c r="A265" s="77" t="s">
        <v>360</v>
      </c>
      <c r="B265" s="86" t="s">
        <v>33</v>
      </c>
      <c r="C265" s="86" t="s">
        <v>4</v>
      </c>
      <c r="D265" s="86" t="s">
        <v>5</v>
      </c>
      <c r="E265" s="81">
        <v>99300</v>
      </c>
      <c r="F265" s="81">
        <v>99310</v>
      </c>
      <c r="G265" s="86"/>
      <c r="H265" s="79">
        <f t="shared" si="39"/>
        <v>520</v>
      </c>
      <c r="I265" s="79">
        <f t="shared" si="39"/>
        <v>0</v>
      </c>
      <c r="J265" s="79">
        <f t="shared" si="39"/>
        <v>-520</v>
      </c>
      <c r="K265" s="79">
        <f t="shared" si="30"/>
        <v>-100</v>
      </c>
    </row>
    <row r="266" spans="1:11" s="64" customFormat="1" ht="12.75">
      <c r="A266" s="77" t="s">
        <v>66</v>
      </c>
      <c r="B266" s="86" t="s">
        <v>33</v>
      </c>
      <c r="C266" s="86" t="s">
        <v>4</v>
      </c>
      <c r="D266" s="86" t="s">
        <v>5</v>
      </c>
      <c r="E266" s="81">
        <v>99300</v>
      </c>
      <c r="F266" s="81">
        <v>99310</v>
      </c>
      <c r="G266" s="86" t="s">
        <v>64</v>
      </c>
      <c r="H266" s="79">
        <f t="shared" si="39"/>
        <v>520</v>
      </c>
      <c r="I266" s="79">
        <f t="shared" si="39"/>
        <v>0</v>
      </c>
      <c r="J266" s="79">
        <f t="shared" si="39"/>
        <v>-520</v>
      </c>
      <c r="K266" s="79">
        <f t="shared" si="30"/>
        <v>-100</v>
      </c>
    </row>
    <row r="267" spans="1:12" s="64" customFormat="1" ht="25.5">
      <c r="A267" s="77" t="s">
        <v>95</v>
      </c>
      <c r="B267" s="86" t="s">
        <v>33</v>
      </c>
      <c r="C267" s="86" t="s">
        <v>4</v>
      </c>
      <c r="D267" s="86" t="s">
        <v>5</v>
      </c>
      <c r="E267" s="81">
        <v>99300</v>
      </c>
      <c r="F267" s="81">
        <v>99310</v>
      </c>
      <c r="G267" s="86" t="s">
        <v>94</v>
      </c>
      <c r="H267" s="79">
        <v>520</v>
      </c>
      <c r="I267" s="79">
        <v>0</v>
      </c>
      <c r="J267" s="85">
        <f>I267-H267</f>
        <v>-520</v>
      </c>
      <c r="K267" s="79">
        <f aca="true" t="shared" si="40" ref="K267:K330">I267/H267*100-100</f>
        <v>-100</v>
      </c>
      <c r="L267" s="104" t="s">
        <v>408</v>
      </c>
    </row>
    <row r="268" spans="1:11" s="64" customFormat="1" ht="12.75">
      <c r="A268" s="77" t="s">
        <v>30</v>
      </c>
      <c r="B268" s="86" t="s">
        <v>33</v>
      </c>
      <c r="C268" s="86" t="s">
        <v>4</v>
      </c>
      <c r="D268" s="86" t="s">
        <v>4</v>
      </c>
      <c r="E268" s="86"/>
      <c r="F268" s="86"/>
      <c r="G268" s="86"/>
      <c r="H268" s="79">
        <f>H269</f>
        <v>1786.5</v>
      </c>
      <c r="I268" s="79">
        <f>I269</f>
        <v>407.5</v>
      </c>
      <c r="J268" s="79">
        <f>J269</f>
        <v>-1379</v>
      </c>
      <c r="K268" s="79">
        <f t="shared" si="40"/>
        <v>-77.19003638399104</v>
      </c>
    </row>
    <row r="269" spans="1:11" s="64" customFormat="1" ht="25.5">
      <c r="A269" s="77" t="s">
        <v>340</v>
      </c>
      <c r="B269" s="86" t="s">
        <v>33</v>
      </c>
      <c r="C269" s="86" t="s">
        <v>4</v>
      </c>
      <c r="D269" s="86" t="s">
        <v>4</v>
      </c>
      <c r="E269" s="81">
        <v>75000</v>
      </c>
      <c r="F269" s="82" t="s">
        <v>141</v>
      </c>
      <c r="G269" s="86"/>
      <c r="H269" s="79">
        <f>H270+H278</f>
        <v>1786.5</v>
      </c>
      <c r="I269" s="79">
        <f>I270+I278</f>
        <v>407.5</v>
      </c>
      <c r="J269" s="79">
        <f>J270+J278</f>
        <v>-1379</v>
      </c>
      <c r="K269" s="79">
        <f t="shared" si="40"/>
        <v>-77.19003638399104</v>
      </c>
    </row>
    <row r="270" spans="1:11" s="64" customFormat="1" ht="25.5">
      <c r="A270" s="77" t="s">
        <v>191</v>
      </c>
      <c r="B270" s="86" t="s">
        <v>33</v>
      </c>
      <c r="C270" s="86" t="s">
        <v>4</v>
      </c>
      <c r="D270" s="86" t="s">
        <v>4</v>
      </c>
      <c r="E270" s="83">
        <v>75005</v>
      </c>
      <c r="F270" s="82" t="s">
        <v>141</v>
      </c>
      <c r="G270" s="86"/>
      <c r="H270" s="79">
        <f>H271</f>
        <v>1724.6</v>
      </c>
      <c r="I270" s="79">
        <f>I271</f>
        <v>407.5</v>
      </c>
      <c r="J270" s="79">
        <f>J271</f>
        <v>-1317.1</v>
      </c>
      <c r="K270" s="79">
        <f t="shared" si="40"/>
        <v>-76.37133248289459</v>
      </c>
    </row>
    <row r="271" spans="1:11" s="64" customFormat="1" ht="12.75">
      <c r="A271" s="77" t="s">
        <v>192</v>
      </c>
      <c r="B271" s="86" t="s">
        <v>33</v>
      </c>
      <c r="C271" s="86" t="s">
        <v>4</v>
      </c>
      <c r="D271" s="86" t="s">
        <v>4</v>
      </c>
      <c r="E271" s="83">
        <v>75005</v>
      </c>
      <c r="F271" s="84" t="s">
        <v>170</v>
      </c>
      <c r="G271" s="86"/>
      <c r="H271" s="79">
        <f>H272+H274+H276</f>
        <v>1724.6</v>
      </c>
      <c r="I271" s="79">
        <f>I272+I274+I276</f>
        <v>407.5</v>
      </c>
      <c r="J271" s="79">
        <f>J272+J274+J276</f>
        <v>-1317.1</v>
      </c>
      <c r="K271" s="79">
        <f t="shared" si="40"/>
        <v>-76.37133248289459</v>
      </c>
    </row>
    <row r="272" spans="1:11" s="64" customFormat="1" ht="38.25">
      <c r="A272" s="77" t="s">
        <v>58</v>
      </c>
      <c r="B272" s="86" t="s">
        <v>33</v>
      </c>
      <c r="C272" s="86" t="s">
        <v>4</v>
      </c>
      <c r="D272" s="86" t="s">
        <v>4</v>
      </c>
      <c r="E272" s="83">
        <v>75005</v>
      </c>
      <c r="F272" s="84" t="s">
        <v>170</v>
      </c>
      <c r="G272" s="86" t="s">
        <v>57</v>
      </c>
      <c r="H272" s="79">
        <f>H273</f>
        <v>1655.1999999999998</v>
      </c>
      <c r="I272" s="79">
        <f>I273</f>
        <v>386</v>
      </c>
      <c r="J272" s="79">
        <f>J273</f>
        <v>-1269.1999999999998</v>
      </c>
      <c r="K272" s="79">
        <f t="shared" si="40"/>
        <v>-76.67955534074432</v>
      </c>
    </row>
    <row r="273" spans="1:12" s="64" customFormat="1" ht="12.75">
      <c r="A273" s="92" t="s">
        <v>77</v>
      </c>
      <c r="B273" s="86" t="s">
        <v>33</v>
      </c>
      <c r="C273" s="86" t="s">
        <v>4</v>
      </c>
      <c r="D273" s="86" t="s">
        <v>4</v>
      </c>
      <c r="E273" s="83">
        <v>75005</v>
      </c>
      <c r="F273" s="84" t="s">
        <v>170</v>
      </c>
      <c r="G273" s="86" t="s">
        <v>76</v>
      </c>
      <c r="H273" s="85">
        <f>1724.6-4-65.4</f>
        <v>1655.1999999999998</v>
      </c>
      <c r="I273" s="85">
        <v>386</v>
      </c>
      <c r="J273" s="85">
        <f>I273-H273</f>
        <v>-1269.1999999999998</v>
      </c>
      <c r="K273" s="79">
        <f t="shared" si="40"/>
        <v>-76.67955534074432</v>
      </c>
      <c r="L273" s="104" t="s">
        <v>408</v>
      </c>
    </row>
    <row r="274" spans="1:11" s="64" customFormat="1" ht="12.75">
      <c r="A274" s="77" t="s">
        <v>62</v>
      </c>
      <c r="B274" s="86" t="s">
        <v>33</v>
      </c>
      <c r="C274" s="86" t="s">
        <v>4</v>
      </c>
      <c r="D274" s="86" t="s">
        <v>4</v>
      </c>
      <c r="E274" s="83">
        <v>75005</v>
      </c>
      <c r="F274" s="84" t="s">
        <v>170</v>
      </c>
      <c r="G274" s="86" t="s">
        <v>61</v>
      </c>
      <c r="H274" s="79">
        <f>H275</f>
        <v>11</v>
      </c>
      <c r="I274" s="79">
        <f>I275</f>
        <v>7</v>
      </c>
      <c r="J274" s="79">
        <f>J275</f>
        <v>-4</v>
      </c>
      <c r="K274" s="79">
        <f t="shared" si="40"/>
        <v>-36.36363636363637</v>
      </c>
    </row>
    <row r="275" spans="1:12" s="64" customFormat="1" ht="25.5">
      <c r="A275" s="77" t="s">
        <v>63</v>
      </c>
      <c r="B275" s="86" t="s">
        <v>33</v>
      </c>
      <c r="C275" s="86" t="s">
        <v>4</v>
      </c>
      <c r="D275" s="86" t="s">
        <v>4</v>
      </c>
      <c r="E275" s="83">
        <v>75005</v>
      </c>
      <c r="F275" s="84" t="s">
        <v>170</v>
      </c>
      <c r="G275" s="86" t="s">
        <v>17</v>
      </c>
      <c r="H275" s="85">
        <f>4+7</f>
        <v>11</v>
      </c>
      <c r="I275" s="85">
        <v>7</v>
      </c>
      <c r="J275" s="85">
        <f>I275-H275</f>
        <v>-4</v>
      </c>
      <c r="K275" s="79">
        <f t="shared" si="40"/>
        <v>-36.36363636363637</v>
      </c>
      <c r="L275" s="104" t="s">
        <v>408</v>
      </c>
    </row>
    <row r="276" spans="1:11" s="64" customFormat="1" ht="12.75">
      <c r="A276" s="77" t="s">
        <v>66</v>
      </c>
      <c r="B276" s="86" t="s">
        <v>33</v>
      </c>
      <c r="C276" s="86" t="s">
        <v>4</v>
      </c>
      <c r="D276" s="86" t="s">
        <v>4</v>
      </c>
      <c r="E276" s="83">
        <v>75005</v>
      </c>
      <c r="F276" s="84" t="s">
        <v>170</v>
      </c>
      <c r="G276" s="86" t="s">
        <v>64</v>
      </c>
      <c r="H276" s="79">
        <f>H277</f>
        <v>58.400000000000006</v>
      </c>
      <c r="I276" s="79">
        <f>I277</f>
        <v>14.5</v>
      </c>
      <c r="J276" s="79">
        <f>J277</f>
        <v>-43.900000000000006</v>
      </c>
      <c r="K276" s="79">
        <f t="shared" si="40"/>
        <v>-75.17123287671234</v>
      </c>
    </row>
    <row r="277" spans="1:12" s="64" customFormat="1" ht="12.75">
      <c r="A277" s="77" t="s">
        <v>67</v>
      </c>
      <c r="B277" s="86" t="s">
        <v>33</v>
      </c>
      <c r="C277" s="86" t="s">
        <v>4</v>
      </c>
      <c r="D277" s="86" t="s">
        <v>4</v>
      </c>
      <c r="E277" s="83">
        <v>75005</v>
      </c>
      <c r="F277" s="84" t="s">
        <v>170</v>
      </c>
      <c r="G277" s="86" t="s">
        <v>65</v>
      </c>
      <c r="H277" s="85">
        <f>65.4-7</f>
        <v>58.400000000000006</v>
      </c>
      <c r="I277" s="85">
        <v>14.5</v>
      </c>
      <c r="J277" s="85">
        <f>I277-H277</f>
        <v>-43.900000000000006</v>
      </c>
      <c r="K277" s="79">
        <f t="shared" si="40"/>
        <v>-75.17123287671234</v>
      </c>
      <c r="L277" s="104" t="s">
        <v>408</v>
      </c>
    </row>
    <row r="278" spans="1:11" s="64" customFormat="1" ht="25.5">
      <c r="A278" s="77" t="s">
        <v>317</v>
      </c>
      <c r="B278" s="86" t="s">
        <v>33</v>
      </c>
      <c r="C278" s="86" t="s">
        <v>4</v>
      </c>
      <c r="D278" s="86" t="s">
        <v>4</v>
      </c>
      <c r="E278" s="81">
        <v>75008</v>
      </c>
      <c r="F278" s="84" t="s">
        <v>141</v>
      </c>
      <c r="G278" s="86"/>
      <c r="H278" s="79">
        <f aca="true" t="shared" si="41" ref="H278:J280">H279</f>
        <v>61.9</v>
      </c>
      <c r="I278" s="79">
        <f t="shared" si="41"/>
        <v>0</v>
      </c>
      <c r="J278" s="79">
        <f t="shared" si="41"/>
        <v>-61.9</v>
      </c>
      <c r="K278" s="79">
        <f t="shared" si="40"/>
        <v>-100</v>
      </c>
    </row>
    <row r="279" spans="1:11" s="64" customFormat="1" ht="25.5">
      <c r="A279" s="77" t="s">
        <v>318</v>
      </c>
      <c r="B279" s="86" t="s">
        <v>33</v>
      </c>
      <c r="C279" s="86" t="s">
        <v>4</v>
      </c>
      <c r="D279" s="86" t="s">
        <v>4</v>
      </c>
      <c r="E279" s="81">
        <v>75008</v>
      </c>
      <c r="F279" s="93">
        <v>72300</v>
      </c>
      <c r="G279" s="86"/>
      <c r="H279" s="79">
        <f t="shared" si="41"/>
        <v>61.9</v>
      </c>
      <c r="I279" s="79">
        <f t="shared" si="41"/>
        <v>0</v>
      </c>
      <c r="J279" s="79">
        <f t="shared" si="41"/>
        <v>-61.9</v>
      </c>
      <c r="K279" s="79">
        <f t="shared" si="40"/>
        <v>-100</v>
      </c>
    </row>
    <row r="280" spans="1:11" s="64" customFormat="1" ht="38.25">
      <c r="A280" s="77" t="s">
        <v>58</v>
      </c>
      <c r="B280" s="86" t="s">
        <v>33</v>
      </c>
      <c r="C280" s="86" t="s">
        <v>4</v>
      </c>
      <c r="D280" s="86" t="s">
        <v>4</v>
      </c>
      <c r="E280" s="81">
        <v>75008</v>
      </c>
      <c r="F280" s="93">
        <v>72300</v>
      </c>
      <c r="G280" s="86" t="s">
        <v>57</v>
      </c>
      <c r="H280" s="79">
        <f t="shared" si="41"/>
        <v>61.9</v>
      </c>
      <c r="I280" s="79">
        <f t="shared" si="41"/>
        <v>0</v>
      </c>
      <c r="J280" s="79">
        <f t="shared" si="41"/>
        <v>-61.9</v>
      </c>
      <c r="K280" s="79">
        <f t="shared" si="40"/>
        <v>-100</v>
      </c>
    </row>
    <row r="281" spans="1:12" s="64" customFormat="1" ht="12.75">
      <c r="A281" s="77" t="s">
        <v>77</v>
      </c>
      <c r="B281" s="86" t="s">
        <v>33</v>
      </c>
      <c r="C281" s="86" t="s">
        <v>4</v>
      </c>
      <c r="D281" s="86" t="s">
        <v>4</v>
      </c>
      <c r="E281" s="81">
        <v>75008</v>
      </c>
      <c r="F281" s="93">
        <v>72300</v>
      </c>
      <c r="G281" s="86" t="s">
        <v>76</v>
      </c>
      <c r="H281" s="85">
        <v>61.9</v>
      </c>
      <c r="I281" s="85">
        <v>0</v>
      </c>
      <c r="J281" s="85">
        <f>I281-H281</f>
        <v>-61.9</v>
      </c>
      <c r="K281" s="79">
        <f t="shared" si="40"/>
        <v>-100</v>
      </c>
      <c r="L281" s="104" t="s">
        <v>408</v>
      </c>
    </row>
    <row r="282" spans="1:11" s="64" customFormat="1" ht="12.75">
      <c r="A282" s="77" t="s">
        <v>24</v>
      </c>
      <c r="B282" s="86" t="s">
        <v>33</v>
      </c>
      <c r="C282" s="86" t="s">
        <v>12</v>
      </c>
      <c r="D282" s="86"/>
      <c r="E282" s="86"/>
      <c r="F282" s="86"/>
      <c r="G282" s="86"/>
      <c r="H282" s="79">
        <f>H283+H289</f>
        <v>3167.8</v>
      </c>
      <c r="I282" s="79">
        <f>I283+I289</f>
        <v>765.6</v>
      </c>
      <c r="J282" s="79">
        <f>J283+J289</f>
        <v>-2402.2</v>
      </c>
      <c r="K282" s="79">
        <f t="shared" si="40"/>
        <v>-75.8318075636088</v>
      </c>
    </row>
    <row r="283" spans="1:11" s="64" customFormat="1" ht="12.75">
      <c r="A283" s="77" t="s">
        <v>31</v>
      </c>
      <c r="B283" s="86" t="s">
        <v>33</v>
      </c>
      <c r="C283" s="86" t="s">
        <v>12</v>
      </c>
      <c r="D283" s="86" t="s">
        <v>1</v>
      </c>
      <c r="E283" s="86"/>
      <c r="F283" s="86"/>
      <c r="G283" s="86"/>
      <c r="H283" s="79">
        <f aca="true" t="shared" si="42" ref="H283:J287">H284</f>
        <v>1016.5</v>
      </c>
      <c r="I283" s="79">
        <f t="shared" si="42"/>
        <v>254.1</v>
      </c>
      <c r="J283" s="79">
        <f t="shared" si="42"/>
        <v>-762.4</v>
      </c>
      <c r="K283" s="79">
        <f t="shared" si="40"/>
        <v>-75.00245941957698</v>
      </c>
    </row>
    <row r="284" spans="1:11" s="64" customFormat="1" ht="25.5">
      <c r="A284" s="80" t="s">
        <v>305</v>
      </c>
      <c r="B284" s="86" t="s">
        <v>33</v>
      </c>
      <c r="C284" s="86" t="s">
        <v>12</v>
      </c>
      <c r="D284" s="86" t="s">
        <v>1</v>
      </c>
      <c r="E284" s="83">
        <v>71000</v>
      </c>
      <c r="F284" s="82" t="s">
        <v>141</v>
      </c>
      <c r="G284" s="86"/>
      <c r="H284" s="79">
        <f t="shared" si="42"/>
        <v>1016.5</v>
      </c>
      <c r="I284" s="79">
        <f t="shared" si="42"/>
        <v>254.1</v>
      </c>
      <c r="J284" s="79">
        <f t="shared" si="42"/>
        <v>-762.4</v>
      </c>
      <c r="K284" s="79">
        <f t="shared" si="40"/>
        <v>-75.00245941957698</v>
      </c>
    </row>
    <row r="285" spans="1:11" s="64" customFormat="1" ht="12.75">
      <c r="A285" s="99" t="s">
        <v>194</v>
      </c>
      <c r="B285" s="86" t="s">
        <v>33</v>
      </c>
      <c r="C285" s="86" t="s">
        <v>12</v>
      </c>
      <c r="D285" s="86" t="s">
        <v>1</v>
      </c>
      <c r="E285" s="83">
        <v>71004</v>
      </c>
      <c r="F285" s="82" t="s">
        <v>141</v>
      </c>
      <c r="G285" s="86"/>
      <c r="H285" s="79">
        <f t="shared" si="42"/>
        <v>1016.5</v>
      </c>
      <c r="I285" s="79">
        <f t="shared" si="42"/>
        <v>254.1</v>
      </c>
      <c r="J285" s="79">
        <f t="shared" si="42"/>
        <v>-762.4</v>
      </c>
      <c r="K285" s="79">
        <f t="shared" si="40"/>
        <v>-75.00245941957698</v>
      </c>
    </row>
    <row r="286" spans="1:11" s="64" customFormat="1" ht="12.75">
      <c r="A286" s="99" t="s">
        <v>195</v>
      </c>
      <c r="B286" s="86" t="s">
        <v>33</v>
      </c>
      <c r="C286" s="86" t="s">
        <v>12</v>
      </c>
      <c r="D286" s="86" t="s">
        <v>1</v>
      </c>
      <c r="E286" s="83">
        <v>71004</v>
      </c>
      <c r="F286" s="84" t="s">
        <v>196</v>
      </c>
      <c r="G286" s="86"/>
      <c r="H286" s="79">
        <f t="shared" si="42"/>
        <v>1016.5</v>
      </c>
      <c r="I286" s="79">
        <f t="shared" si="42"/>
        <v>254.1</v>
      </c>
      <c r="J286" s="79">
        <f t="shared" si="42"/>
        <v>-762.4</v>
      </c>
      <c r="K286" s="79">
        <f t="shared" si="40"/>
        <v>-75.00245941957698</v>
      </c>
    </row>
    <row r="287" spans="1:11" s="64" customFormat="1" ht="12.75">
      <c r="A287" s="77" t="s">
        <v>90</v>
      </c>
      <c r="B287" s="86" t="s">
        <v>33</v>
      </c>
      <c r="C287" s="86" t="s">
        <v>12</v>
      </c>
      <c r="D287" s="86" t="s">
        <v>1</v>
      </c>
      <c r="E287" s="83">
        <v>71004</v>
      </c>
      <c r="F287" s="84" t="s">
        <v>196</v>
      </c>
      <c r="G287" s="86" t="s">
        <v>68</v>
      </c>
      <c r="H287" s="79">
        <f t="shared" si="42"/>
        <v>1016.5</v>
      </c>
      <c r="I287" s="79">
        <f t="shared" si="42"/>
        <v>254.1</v>
      </c>
      <c r="J287" s="79">
        <f t="shared" si="42"/>
        <v>-762.4</v>
      </c>
      <c r="K287" s="79">
        <f t="shared" si="40"/>
        <v>-75.00245941957698</v>
      </c>
    </row>
    <row r="288" spans="1:12" s="64" customFormat="1" ht="12.75">
      <c r="A288" s="77" t="s">
        <v>124</v>
      </c>
      <c r="B288" s="86" t="s">
        <v>33</v>
      </c>
      <c r="C288" s="86" t="s">
        <v>12</v>
      </c>
      <c r="D288" s="86" t="s">
        <v>1</v>
      </c>
      <c r="E288" s="83">
        <v>71004</v>
      </c>
      <c r="F288" s="84" t="s">
        <v>196</v>
      </c>
      <c r="G288" s="86" t="s">
        <v>69</v>
      </c>
      <c r="H288" s="91">
        <f>1016.2+0.3</f>
        <v>1016.5</v>
      </c>
      <c r="I288" s="91">
        <v>254.1</v>
      </c>
      <c r="J288" s="85">
        <f>I288-H288</f>
        <v>-762.4</v>
      </c>
      <c r="K288" s="79">
        <f t="shared" si="40"/>
        <v>-75.00245941957698</v>
      </c>
      <c r="L288" s="104" t="s">
        <v>408</v>
      </c>
    </row>
    <row r="289" spans="1:11" s="64" customFormat="1" ht="12.75">
      <c r="A289" s="77" t="s">
        <v>42</v>
      </c>
      <c r="B289" s="86" t="s">
        <v>33</v>
      </c>
      <c r="C289" s="86" t="s">
        <v>12</v>
      </c>
      <c r="D289" s="86" t="s">
        <v>5</v>
      </c>
      <c r="E289" s="86"/>
      <c r="F289" s="86"/>
      <c r="G289" s="86"/>
      <c r="H289" s="79">
        <f>H290+H297</f>
        <v>2151.3</v>
      </c>
      <c r="I289" s="79">
        <f>I290+I297</f>
        <v>511.5</v>
      </c>
      <c r="J289" s="79">
        <f>J290+J297</f>
        <v>-1639.8</v>
      </c>
      <c r="K289" s="79">
        <f t="shared" si="40"/>
        <v>-76.22367870589876</v>
      </c>
    </row>
    <row r="290" spans="1:11" s="64" customFormat="1" ht="12.75">
      <c r="A290" s="77" t="s">
        <v>307</v>
      </c>
      <c r="B290" s="86" t="s">
        <v>33</v>
      </c>
      <c r="C290" s="86" t="s">
        <v>12</v>
      </c>
      <c r="D290" s="86" t="s">
        <v>5</v>
      </c>
      <c r="E290" s="81">
        <v>72000</v>
      </c>
      <c r="F290" s="82" t="s">
        <v>141</v>
      </c>
      <c r="G290" s="86"/>
      <c r="H290" s="79">
        <f aca="true" t="shared" si="43" ref="H290:J291">H291</f>
        <v>2132.9</v>
      </c>
      <c r="I290" s="79">
        <f t="shared" si="43"/>
        <v>511.5</v>
      </c>
      <c r="J290" s="79">
        <f t="shared" si="43"/>
        <v>-1621.3999999999999</v>
      </c>
      <c r="K290" s="79">
        <f t="shared" si="40"/>
        <v>-76.01856627127385</v>
      </c>
    </row>
    <row r="291" spans="1:11" s="64" customFormat="1" ht="38.25">
      <c r="A291" s="80" t="s">
        <v>152</v>
      </c>
      <c r="B291" s="86" t="s">
        <v>33</v>
      </c>
      <c r="C291" s="86" t="s">
        <v>12</v>
      </c>
      <c r="D291" s="86" t="s">
        <v>5</v>
      </c>
      <c r="E291" s="83">
        <v>72002</v>
      </c>
      <c r="F291" s="82" t="s">
        <v>141</v>
      </c>
      <c r="G291" s="86"/>
      <c r="H291" s="79">
        <f t="shared" si="43"/>
        <v>2132.9</v>
      </c>
      <c r="I291" s="79">
        <f t="shared" si="43"/>
        <v>511.5</v>
      </c>
      <c r="J291" s="79">
        <f t="shared" si="43"/>
        <v>-1621.3999999999999</v>
      </c>
      <c r="K291" s="79">
        <f t="shared" si="40"/>
        <v>-76.01856627127385</v>
      </c>
    </row>
    <row r="292" spans="1:11" s="64" customFormat="1" ht="25.5">
      <c r="A292" s="77" t="s">
        <v>197</v>
      </c>
      <c r="B292" s="86" t="s">
        <v>33</v>
      </c>
      <c r="C292" s="86" t="s">
        <v>12</v>
      </c>
      <c r="D292" s="86" t="s">
        <v>5</v>
      </c>
      <c r="E292" s="83">
        <v>72002</v>
      </c>
      <c r="F292" s="83" t="s">
        <v>198</v>
      </c>
      <c r="G292" s="86"/>
      <c r="H292" s="79">
        <f>H293+H295</f>
        <v>2132.9</v>
      </c>
      <c r="I292" s="79">
        <f>I293+I295</f>
        <v>511.5</v>
      </c>
      <c r="J292" s="79">
        <f>J293+J295</f>
        <v>-1621.3999999999999</v>
      </c>
      <c r="K292" s="79">
        <f t="shared" si="40"/>
        <v>-76.01856627127385</v>
      </c>
    </row>
    <row r="293" spans="1:11" s="64" customFormat="1" ht="12.75">
      <c r="A293" s="77" t="s">
        <v>62</v>
      </c>
      <c r="B293" s="86" t="s">
        <v>33</v>
      </c>
      <c r="C293" s="86" t="s">
        <v>12</v>
      </c>
      <c r="D293" s="86" t="s">
        <v>5</v>
      </c>
      <c r="E293" s="83">
        <v>72002</v>
      </c>
      <c r="F293" s="83" t="s">
        <v>198</v>
      </c>
      <c r="G293" s="86" t="s">
        <v>61</v>
      </c>
      <c r="H293" s="79">
        <f>H294</f>
        <v>37.8</v>
      </c>
      <c r="I293" s="79">
        <f>I294</f>
        <v>13.7</v>
      </c>
      <c r="J293" s="79">
        <f>J294</f>
        <v>-24.099999999999998</v>
      </c>
      <c r="K293" s="79">
        <f t="shared" si="40"/>
        <v>-63.75661375661375</v>
      </c>
    </row>
    <row r="294" spans="1:12" s="64" customFormat="1" ht="25.5">
      <c r="A294" s="77" t="s">
        <v>63</v>
      </c>
      <c r="B294" s="86" t="s">
        <v>33</v>
      </c>
      <c r="C294" s="86" t="s">
        <v>12</v>
      </c>
      <c r="D294" s="86" t="s">
        <v>5</v>
      </c>
      <c r="E294" s="83">
        <v>72002</v>
      </c>
      <c r="F294" s="83" t="s">
        <v>198</v>
      </c>
      <c r="G294" s="86" t="s">
        <v>17</v>
      </c>
      <c r="H294" s="85">
        <v>37.8</v>
      </c>
      <c r="I294" s="85">
        <v>13.7</v>
      </c>
      <c r="J294" s="85">
        <f>I294-H294</f>
        <v>-24.099999999999998</v>
      </c>
      <c r="K294" s="79">
        <f t="shared" si="40"/>
        <v>-63.75661375661375</v>
      </c>
      <c r="L294" s="104" t="s">
        <v>408</v>
      </c>
    </row>
    <row r="295" spans="1:11" s="64" customFormat="1" ht="12.75">
      <c r="A295" s="77" t="s">
        <v>90</v>
      </c>
      <c r="B295" s="86" t="s">
        <v>33</v>
      </c>
      <c r="C295" s="86" t="s">
        <v>12</v>
      </c>
      <c r="D295" s="86" t="s">
        <v>5</v>
      </c>
      <c r="E295" s="83">
        <v>72002</v>
      </c>
      <c r="F295" s="83" t="s">
        <v>198</v>
      </c>
      <c r="G295" s="86" t="s">
        <v>68</v>
      </c>
      <c r="H295" s="79">
        <f>H296</f>
        <v>2095.1</v>
      </c>
      <c r="I295" s="79">
        <f>I296</f>
        <v>497.8</v>
      </c>
      <c r="J295" s="79">
        <f>J296</f>
        <v>-1597.3</v>
      </c>
      <c r="K295" s="79">
        <f t="shared" si="40"/>
        <v>-76.23979762302515</v>
      </c>
    </row>
    <row r="296" spans="1:12" s="64" customFormat="1" ht="12.75">
      <c r="A296" s="77" t="s">
        <v>124</v>
      </c>
      <c r="B296" s="86" t="s">
        <v>33</v>
      </c>
      <c r="C296" s="86" t="s">
        <v>12</v>
      </c>
      <c r="D296" s="86" t="s">
        <v>5</v>
      </c>
      <c r="E296" s="83">
        <v>72002</v>
      </c>
      <c r="F296" s="83" t="s">
        <v>198</v>
      </c>
      <c r="G296" s="86" t="s">
        <v>69</v>
      </c>
      <c r="H296" s="85">
        <f>2132.9-37.8</f>
        <v>2095.1</v>
      </c>
      <c r="I296" s="85">
        <v>497.8</v>
      </c>
      <c r="J296" s="85">
        <f>I296-H296</f>
        <v>-1597.3</v>
      </c>
      <c r="K296" s="79">
        <f t="shared" si="40"/>
        <v>-76.23979762302515</v>
      </c>
      <c r="L296" s="104" t="s">
        <v>408</v>
      </c>
    </row>
    <row r="297" spans="1:11" s="64" customFormat="1" ht="25.5">
      <c r="A297" s="77" t="s">
        <v>340</v>
      </c>
      <c r="B297" s="86" t="s">
        <v>33</v>
      </c>
      <c r="C297" s="86" t="s">
        <v>12</v>
      </c>
      <c r="D297" s="86" t="s">
        <v>5</v>
      </c>
      <c r="E297" s="83">
        <v>75000</v>
      </c>
      <c r="F297" s="82" t="s">
        <v>141</v>
      </c>
      <c r="G297" s="86"/>
      <c r="H297" s="79">
        <f>H298+H302</f>
        <v>18.4</v>
      </c>
      <c r="I297" s="79">
        <f>I298+I302</f>
        <v>0</v>
      </c>
      <c r="J297" s="79">
        <f>J298+J302</f>
        <v>-18.4</v>
      </c>
      <c r="K297" s="79">
        <f t="shared" si="40"/>
        <v>-100</v>
      </c>
    </row>
    <row r="298" spans="1:11" s="64" customFormat="1" ht="25.5">
      <c r="A298" s="77" t="s">
        <v>199</v>
      </c>
      <c r="B298" s="86" t="s">
        <v>33</v>
      </c>
      <c r="C298" s="86" t="s">
        <v>12</v>
      </c>
      <c r="D298" s="86" t="s">
        <v>5</v>
      </c>
      <c r="E298" s="83">
        <v>75002</v>
      </c>
      <c r="F298" s="82" t="s">
        <v>141</v>
      </c>
      <c r="G298" s="86"/>
      <c r="H298" s="79">
        <f aca="true" t="shared" si="44" ref="H298:J300">H299</f>
        <v>0</v>
      </c>
      <c r="I298" s="79">
        <f t="shared" si="44"/>
        <v>0</v>
      </c>
      <c r="J298" s="79">
        <f t="shared" si="44"/>
        <v>0</v>
      </c>
      <c r="K298" s="79">
        <v>0</v>
      </c>
    </row>
    <row r="299" spans="1:11" s="64" customFormat="1" ht="25.5">
      <c r="A299" s="77" t="s">
        <v>270</v>
      </c>
      <c r="B299" s="86" t="s">
        <v>33</v>
      </c>
      <c r="C299" s="86" t="s">
        <v>12</v>
      </c>
      <c r="D299" s="86" t="s">
        <v>5</v>
      </c>
      <c r="E299" s="83">
        <v>75002</v>
      </c>
      <c r="F299" s="83" t="s">
        <v>200</v>
      </c>
      <c r="G299" s="86"/>
      <c r="H299" s="79">
        <f t="shared" si="44"/>
        <v>0</v>
      </c>
      <c r="I299" s="79">
        <f t="shared" si="44"/>
        <v>0</v>
      </c>
      <c r="J299" s="79">
        <f t="shared" si="44"/>
        <v>0</v>
      </c>
      <c r="K299" s="79">
        <v>0</v>
      </c>
    </row>
    <row r="300" spans="1:11" s="64" customFormat="1" ht="12.75">
      <c r="A300" s="77" t="s">
        <v>90</v>
      </c>
      <c r="B300" s="86" t="s">
        <v>33</v>
      </c>
      <c r="C300" s="86" t="s">
        <v>12</v>
      </c>
      <c r="D300" s="86" t="s">
        <v>5</v>
      </c>
      <c r="E300" s="83">
        <v>75002</v>
      </c>
      <c r="F300" s="83" t="s">
        <v>200</v>
      </c>
      <c r="G300" s="86" t="s">
        <v>68</v>
      </c>
      <c r="H300" s="79">
        <f t="shared" si="44"/>
        <v>0</v>
      </c>
      <c r="I300" s="79">
        <f t="shared" si="44"/>
        <v>0</v>
      </c>
      <c r="J300" s="79">
        <f t="shared" si="44"/>
        <v>0</v>
      </c>
      <c r="K300" s="79">
        <v>0</v>
      </c>
    </row>
    <row r="301" spans="1:12" s="64" customFormat="1" ht="25.5">
      <c r="A301" s="77" t="s">
        <v>125</v>
      </c>
      <c r="B301" s="86" t="s">
        <v>33</v>
      </c>
      <c r="C301" s="86" t="s">
        <v>12</v>
      </c>
      <c r="D301" s="86" t="s">
        <v>5</v>
      </c>
      <c r="E301" s="83">
        <v>75002</v>
      </c>
      <c r="F301" s="83" t="s">
        <v>200</v>
      </c>
      <c r="G301" s="86" t="s">
        <v>83</v>
      </c>
      <c r="H301" s="85">
        <f>15.1-15.1</f>
        <v>0</v>
      </c>
      <c r="I301" s="85">
        <f>15.1-15.1</f>
        <v>0</v>
      </c>
      <c r="J301" s="85">
        <f>I301-H301</f>
        <v>0</v>
      </c>
      <c r="K301" s="79">
        <v>0</v>
      </c>
      <c r="L301" s="104" t="s">
        <v>408</v>
      </c>
    </row>
    <row r="302" spans="1:11" s="64" customFormat="1" ht="12.75">
      <c r="A302" s="77" t="s">
        <v>361</v>
      </c>
      <c r="B302" s="86" t="s">
        <v>33</v>
      </c>
      <c r="C302" s="86" t="s">
        <v>12</v>
      </c>
      <c r="D302" s="86" t="s">
        <v>5</v>
      </c>
      <c r="E302" s="83">
        <v>75003</v>
      </c>
      <c r="F302" s="82" t="s">
        <v>141</v>
      </c>
      <c r="G302" s="86"/>
      <c r="H302" s="79">
        <f aca="true" t="shared" si="45" ref="H302:J304">H303</f>
        <v>18.4</v>
      </c>
      <c r="I302" s="79">
        <f t="shared" si="45"/>
        <v>0</v>
      </c>
      <c r="J302" s="79">
        <f t="shared" si="45"/>
        <v>-18.4</v>
      </c>
      <c r="K302" s="79">
        <f t="shared" si="40"/>
        <v>-100</v>
      </c>
    </row>
    <row r="303" spans="1:11" s="64" customFormat="1" ht="12.75">
      <c r="A303" s="77" t="s">
        <v>362</v>
      </c>
      <c r="B303" s="86" t="s">
        <v>33</v>
      </c>
      <c r="C303" s="86" t="s">
        <v>12</v>
      </c>
      <c r="D303" s="86" t="s">
        <v>5</v>
      </c>
      <c r="E303" s="83">
        <v>75003</v>
      </c>
      <c r="F303" s="83">
        <v>51590</v>
      </c>
      <c r="G303" s="86"/>
      <c r="H303" s="79">
        <f t="shared" si="45"/>
        <v>18.4</v>
      </c>
      <c r="I303" s="79">
        <f t="shared" si="45"/>
        <v>0</v>
      </c>
      <c r="J303" s="79">
        <f t="shared" si="45"/>
        <v>-18.4</v>
      </c>
      <c r="K303" s="79">
        <f t="shared" si="40"/>
        <v>-100</v>
      </c>
    </row>
    <row r="304" spans="1:11" s="64" customFormat="1" ht="12.75">
      <c r="A304" s="77" t="s">
        <v>90</v>
      </c>
      <c r="B304" s="86" t="s">
        <v>33</v>
      </c>
      <c r="C304" s="86" t="s">
        <v>12</v>
      </c>
      <c r="D304" s="86" t="s">
        <v>5</v>
      </c>
      <c r="E304" s="83">
        <v>75003</v>
      </c>
      <c r="F304" s="83">
        <v>51590</v>
      </c>
      <c r="G304" s="86" t="s">
        <v>68</v>
      </c>
      <c r="H304" s="79">
        <f t="shared" si="45"/>
        <v>18.4</v>
      </c>
      <c r="I304" s="79">
        <f t="shared" si="45"/>
        <v>0</v>
      </c>
      <c r="J304" s="79">
        <f t="shared" si="45"/>
        <v>-18.4</v>
      </c>
      <c r="K304" s="79">
        <f t="shared" si="40"/>
        <v>-100</v>
      </c>
    </row>
    <row r="305" spans="1:12" s="64" customFormat="1" ht="25.5">
      <c r="A305" s="77" t="s">
        <v>125</v>
      </c>
      <c r="B305" s="86" t="s">
        <v>33</v>
      </c>
      <c r="C305" s="86" t="s">
        <v>12</v>
      </c>
      <c r="D305" s="86" t="s">
        <v>5</v>
      </c>
      <c r="E305" s="83">
        <v>75003</v>
      </c>
      <c r="F305" s="83">
        <v>51590</v>
      </c>
      <c r="G305" s="86" t="s">
        <v>83</v>
      </c>
      <c r="H305" s="85">
        <v>18.4</v>
      </c>
      <c r="I305" s="85">
        <v>0</v>
      </c>
      <c r="J305" s="85">
        <f>I305-H305</f>
        <v>-18.4</v>
      </c>
      <c r="K305" s="79">
        <f t="shared" si="40"/>
        <v>-100</v>
      </c>
      <c r="L305" s="104" t="s">
        <v>408</v>
      </c>
    </row>
    <row r="306" spans="1:11" s="64" customFormat="1" ht="12.75">
      <c r="A306" s="77" t="s">
        <v>38</v>
      </c>
      <c r="B306" s="86" t="s">
        <v>33</v>
      </c>
      <c r="C306" s="86" t="s">
        <v>47</v>
      </c>
      <c r="D306" s="86"/>
      <c r="E306" s="86"/>
      <c r="F306" s="86"/>
      <c r="G306" s="86"/>
      <c r="H306" s="79">
        <f aca="true" t="shared" si="46" ref="H306:J311">H307</f>
        <v>17965.2</v>
      </c>
      <c r="I306" s="79">
        <f t="shared" si="46"/>
        <v>1258.4</v>
      </c>
      <c r="J306" s="79">
        <f t="shared" si="46"/>
        <v>-16706.8</v>
      </c>
      <c r="K306" s="79">
        <f t="shared" si="40"/>
        <v>-92.99534655890277</v>
      </c>
    </row>
    <row r="307" spans="1:11" s="64" customFormat="1" ht="12.75">
      <c r="A307" s="77" t="s">
        <v>52</v>
      </c>
      <c r="B307" s="86" t="s">
        <v>33</v>
      </c>
      <c r="C307" s="86" t="s">
        <v>47</v>
      </c>
      <c r="D307" s="86" t="s">
        <v>4</v>
      </c>
      <c r="E307" s="86"/>
      <c r="F307" s="86"/>
      <c r="G307" s="86"/>
      <c r="H307" s="79">
        <f t="shared" si="46"/>
        <v>17965.2</v>
      </c>
      <c r="I307" s="79">
        <f t="shared" si="46"/>
        <v>1258.4</v>
      </c>
      <c r="J307" s="79">
        <f t="shared" si="46"/>
        <v>-16706.8</v>
      </c>
      <c r="K307" s="79">
        <f t="shared" si="40"/>
        <v>-92.99534655890277</v>
      </c>
    </row>
    <row r="308" spans="1:11" s="64" customFormat="1" ht="12.75">
      <c r="A308" s="77" t="s">
        <v>127</v>
      </c>
      <c r="B308" s="86" t="s">
        <v>33</v>
      </c>
      <c r="C308" s="86" t="s">
        <v>47</v>
      </c>
      <c r="D308" s="86" t="s">
        <v>4</v>
      </c>
      <c r="E308" s="83">
        <v>99000</v>
      </c>
      <c r="F308" s="82" t="s">
        <v>141</v>
      </c>
      <c r="G308" s="86"/>
      <c r="H308" s="79">
        <f t="shared" si="46"/>
        <v>17965.2</v>
      </c>
      <c r="I308" s="79">
        <f t="shared" si="46"/>
        <v>1258.4</v>
      </c>
      <c r="J308" s="79">
        <f t="shared" si="46"/>
        <v>-16706.8</v>
      </c>
      <c r="K308" s="79">
        <f t="shared" si="40"/>
        <v>-92.99534655890277</v>
      </c>
    </row>
    <row r="309" spans="1:11" s="64" customFormat="1" ht="12.75">
      <c r="A309" s="77" t="s">
        <v>130</v>
      </c>
      <c r="B309" s="86" t="s">
        <v>33</v>
      </c>
      <c r="C309" s="86" t="s">
        <v>47</v>
      </c>
      <c r="D309" s="86" t="s">
        <v>4</v>
      </c>
      <c r="E309" s="81">
        <v>99300</v>
      </c>
      <c r="F309" s="82" t="s">
        <v>141</v>
      </c>
      <c r="G309" s="86"/>
      <c r="H309" s="79">
        <f t="shared" si="46"/>
        <v>17965.2</v>
      </c>
      <c r="I309" s="79">
        <f t="shared" si="46"/>
        <v>1258.4</v>
      </c>
      <c r="J309" s="79">
        <f t="shared" si="46"/>
        <v>-16706.8</v>
      </c>
      <c r="K309" s="79">
        <f t="shared" si="40"/>
        <v>-92.99534655890277</v>
      </c>
    </row>
    <row r="310" spans="1:11" s="64" customFormat="1" ht="12.75">
      <c r="A310" s="94" t="s">
        <v>116</v>
      </c>
      <c r="B310" s="86" t="s">
        <v>33</v>
      </c>
      <c r="C310" s="86" t="s">
        <v>47</v>
      </c>
      <c r="D310" s="86" t="s">
        <v>4</v>
      </c>
      <c r="E310" s="81">
        <v>99300</v>
      </c>
      <c r="F310" s="100">
        <v>99230</v>
      </c>
      <c r="G310" s="86"/>
      <c r="H310" s="79">
        <f t="shared" si="46"/>
        <v>17965.2</v>
      </c>
      <c r="I310" s="79">
        <f t="shared" si="46"/>
        <v>1258.4</v>
      </c>
      <c r="J310" s="79">
        <f t="shared" si="46"/>
        <v>-16706.8</v>
      </c>
      <c r="K310" s="79">
        <f t="shared" si="40"/>
        <v>-92.99534655890277</v>
      </c>
    </row>
    <row r="311" spans="1:11" s="64" customFormat="1" ht="25.5">
      <c r="A311" s="77" t="s">
        <v>72</v>
      </c>
      <c r="B311" s="86" t="s">
        <v>33</v>
      </c>
      <c r="C311" s="86" t="s">
        <v>47</v>
      </c>
      <c r="D311" s="86" t="s">
        <v>4</v>
      </c>
      <c r="E311" s="81">
        <v>99300</v>
      </c>
      <c r="F311" s="100">
        <v>99230</v>
      </c>
      <c r="G311" s="86" t="s">
        <v>70</v>
      </c>
      <c r="H311" s="79">
        <f t="shared" si="46"/>
        <v>17965.2</v>
      </c>
      <c r="I311" s="79">
        <f t="shared" si="46"/>
        <v>1258.4</v>
      </c>
      <c r="J311" s="79">
        <f t="shared" si="46"/>
        <v>-16706.8</v>
      </c>
      <c r="K311" s="79">
        <f t="shared" si="40"/>
        <v>-92.99534655890277</v>
      </c>
    </row>
    <row r="312" spans="1:12" s="64" customFormat="1" ht="12.75">
      <c r="A312" s="77" t="s">
        <v>36</v>
      </c>
      <c r="B312" s="86" t="s">
        <v>33</v>
      </c>
      <c r="C312" s="86" t="s">
        <v>47</v>
      </c>
      <c r="D312" s="86" t="s">
        <v>4</v>
      </c>
      <c r="E312" s="81">
        <v>99300</v>
      </c>
      <c r="F312" s="100">
        <v>99230</v>
      </c>
      <c r="G312" s="86" t="s">
        <v>71</v>
      </c>
      <c r="H312" s="89">
        <f>5471+8627.2+3867</f>
        <v>17965.2</v>
      </c>
      <c r="I312" s="89">
        <v>1258.4</v>
      </c>
      <c r="J312" s="85">
        <f>I312-H312</f>
        <v>-16706.8</v>
      </c>
      <c r="K312" s="79">
        <f t="shared" si="40"/>
        <v>-92.99534655890277</v>
      </c>
      <c r="L312" s="104" t="s">
        <v>408</v>
      </c>
    </row>
    <row r="313" spans="1:11" s="64" customFormat="1" ht="12.75">
      <c r="A313" s="77" t="s">
        <v>49</v>
      </c>
      <c r="B313" s="86" t="s">
        <v>33</v>
      </c>
      <c r="C313" s="86" t="s">
        <v>35</v>
      </c>
      <c r="D313" s="86"/>
      <c r="E313" s="86"/>
      <c r="F313" s="86"/>
      <c r="G313" s="86"/>
      <c r="H313" s="79">
        <f aca="true" t="shared" si="47" ref="H313:J314">H314</f>
        <v>1529.6000000000001</v>
      </c>
      <c r="I313" s="79">
        <f t="shared" si="47"/>
        <v>253.9</v>
      </c>
      <c r="J313" s="79">
        <f t="shared" si="47"/>
        <v>-1275.7</v>
      </c>
      <c r="K313" s="79">
        <f t="shared" si="40"/>
        <v>-83.4008891213389</v>
      </c>
    </row>
    <row r="314" spans="1:11" s="64" customFormat="1" ht="12.75">
      <c r="A314" s="77" t="s">
        <v>40</v>
      </c>
      <c r="B314" s="86" t="s">
        <v>33</v>
      </c>
      <c r="C314" s="86" t="s">
        <v>35</v>
      </c>
      <c r="D314" s="86" t="s">
        <v>6</v>
      </c>
      <c r="E314" s="86"/>
      <c r="F314" s="86"/>
      <c r="G314" s="86"/>
      <c r="H314" s="79">
        <f t="shared" si="47"/>
        <v>1529.6000000000001</v>
      </c>
      <c r="I314" s="79">
        <f t="shared" si="47"/>
        <v>253.9</v>
      </c>
      <c r="J314" s="79">
        <f t="shared" si="47"/>
        <v>-1275.7</v>
      </c>
      <c r="K314" s="79">
        <f t="shared" si="40"/>
        <v>-83.4008891213389</v>
      </c>
    </row>
    <row r="315" spans="1:11" s="64" customFormat="1" ht="25.5">
      <c r="A315" s="77" t="s">
        <v>363</v>
      </c>
      <c r="B315" s="86" t="s">
        <v>33</v>
      </c>
      <c r="C315" s="86" t="s">
        <v>35</v>
      </c>
      <c r="D315" s="86" t="s">
        <v>6</v>
      </c>
      <c r="E315" s="83">
        <v>78000</v>
      </c>
      <c r="F315" s="82" t="s">
        <v>141</v>
      </c>
      <c r="G315" s="86"/>
      <c r="H315" s="79">
        <f>H316+H327</f>
        <v>1529.6000000000001</v>
      </c>
      <c r="I315" s="79">
        <f>I316+I327</f>
        <v>253.9</v>
      </c>
      <c r="J315" s="79">
        <f>J316+J327</f>
        <v>-1275.7</v>
      </c>
      <c r="K315" s="79">
        <f t="shared" si="40"/>
        <v>-83.4008891213389</v>
      </c>
    </row>
    <row r="316" spans="1:11" s="64" customFormat="1" ht="25.5">
      <c r="A316" s="94" t="s">
        <v>271</v>
      </c>
      <c r="B316" s="86" t="s">
        <v>33</v>
      </c>
      <c r="C316" s="86" t="s">
        <v>35</v>
      </c>
      <c r="D316" s="86" t="s">
        <v>6</v>
      </c>
      <c r="E316" s="83">
        <v>78002</v>
      </c>
      <c r="F316" s="82" t="s">
        <v>141</v>
      </c>
      <c r="G316" s="86"/>
      <c r="H316" s="79">
        <f>H317+H324</f>
        <v>1488.4</v>
      </c>
      <c r="I316" s="79">
        <f>I317+I324</f>
        <v>253.9</v>
      </c>
      <c r="J316" s="79">
        <f>J317+J324</f>
        <v>-1234.5</v>
      </c>
      <c r="K316" s="79">
        <f t="shared" si="40"/>
        <v>-82.94141359849503</v>
      </c>
    </row>
    <row r="317" spans="1:11" s="64" customFormat="1" ht="12.75">
      <c r="A317" s="94" t="s">
        <v>272</v>
      </c>
      <c r="B317" s="86" t="s">
        <v>33</v>
      </c>
      <c r="C317" s="86" t="s">
        <v>35</v>
      </c>
      <c r="D317" s="86" t="s">
        <v>6</v>
      </c>
      <c r="E317" s="83">
        <v>78002</v>
      </c>
      <c r="F317" s="84" t="s">
        <v>170</v>
      </c>
      <c r="G317" s="86"/>
      <c r="H317" s="79">
        <f>H318+H320+H322</f>
        <v>1293.9</v>
      </c>
      <c r="I317" s="79">
        <f>I318+I320+I322</f>
        <v>253.9</v>
      </c>
      <c r="J317" s="79">
        <f>J318+J320+J322</f>
        <v>-1040</v>
      </c>
      <c r="K317" s="79">
        <f t="shared" si="40"/>
        <v>-80.37715433959347</v>
      </c>
    </row>
    <row r="318" spans="1:11" s="64" customFormat="1" ht="38.25">
      <c r="A318" s="77" t="s">
        <v>58</v>
      </c>
      <c r="B318" s="86" t="s">
        <v>33</v>
      </c>
      <c r="C318" s="86" t="s">
        <v>35</v>
      </c>
      <c r="D318" s="86" t="s">
        <v>6</v>
      </c>
      <c r="E318" s="83">
        <v>78002</v>
      </c>
      <c r="F318" s="84" t="s">
        <v>170</v>
      </c>
      <c r="G318" s="86" t="s">
        <v>57</v>
      </c>
      <c r="H318" s="79">
        <f>H319</f>
        <v>923.4</v>
      </c>
      <c r="I318" s="79">
        <f>I319</f>
        <v>212.3</v>
      </c>
      <c r="J318" s="79">
        <f>J319</f>
        <v>-711.0999999999999</v>
      </c>
      <c r="K318" s="79">
        <f t="shared" si="40"/>
        <v>-77.00888022525449</v>
      </c>
    </row>
    <row r="319" spans="1:12" s="64" customFormat="1" ht="12.75">
      <c r="A319" s="92" t="s">
        <v>77</v>
      </c>
      <c r="B319" s="86" t="s">
        <v>33</v>
      </c>
      <c r="C319" s="86" t="s">
        <v>35</v>
      </c>
      <c r="D319" s="86" t="s">
        <v>6</v>
      </c>
      <c r="E319" s="83">
        <v>78002</v>
      </c>
      <c r="F319" s="84" t="s">
        <v>170</v>
      </c>
      <c r="G319" s="86" t="s">
        <v>76</v>
      </c>
      <c r="H319" s="85">
        <v>923.4</v>
      </c>
      <c r="I319" s="85">
        <v>212.3</v>
      </c>
      <c r="J319" s="85">
        <f>I319-H319</f>
        <v>-711.0999999999999</v>
      </c>
      <c r="K319" s="79">
        <f t="shared" si="40"/>
        <v>-77.00888022525449</v>
      </c>
      <c r="L319" s="104" t="s">
        <v>408</v>
      </c>
    </row>
    <row r="320" spans="1:11" s="64" customFormat="1" ht="12.75">
      <c r="A320" s="77" t="s">
        <v>62</v>
      </c>
      <c r="B320" s="86" t="s">
        <v>33</v>
      </c>
      <c r="C320" s="86" t="s">
        <v>35</v>
      </c>
      <c r="D320" s="86" t="s">
        <v>6</v>
      </c>
      <c r="E320" s="83">
        <v>78002</v>
      </c>
      <c r="F320" s="84" t="s">
        <v>170</v>
      </c>
      <c r="G320" s="86" t="s">
        <v>61</v>
      </c>
      <c r="H320" s="79">
        <f>H321</f>
        <v>369.5</v>
      </c>
      <c r="I320" s="79">
        <f>I321</f>
        <v>41.6</v>
      </c>
      <c r="J320" s="79">
        <f>J321</f>
        <v>-327.9</v>
      </c>
      <c r="K320" s="79">
        <f t="shared" si="40"/>
        <v>-88.74154262516915</v>
      </c>
    </row>
    <row r="321" spans="1:12" s="64" customFormat="1" ht="25.5">
      <c r="A321" s="77" t="s">
        <v>63</v>
      </c>
      <c r="B321" s="86" t="s">
        <v>33</v>
      </c>
      <c r="C321" s="86" t="s">
        <v>35</v>
      </c>
      <c r="D321" s="86" t="s">
        <v>6</v>
      </c>
      <c r="E321" s="83">
        <v>78002</v>
      </c>
      <c r="F321" s="84" t="s">
        <v>170</v>
      </c>
      <c r="G321" s="86" t="s">
        <v>17</v>
      </c>
      <c r="H321" s="85">
        <v>369.5</v>
      </c>
      <c r="I321" s="85">
        <v>41.6</v>
      </c>
      <c r="J321" s="85">
        <f>I321-H321</f>
        <v>-327.9</v>
      </c>
      <c r="K321" s="79">
        <f t="shared" si="40"/>
        <v>-88.74154262516915</v>
      </c>
      <c r="L321" s="104" t="s">
        <v>408</v>
      </c>
    </row>
    <row r="322" spans="1:11" s="64" customFormat="1" ht="12.75">
      <c r="A322" s="77" t="s">
        <v>66</v>
      </c>
      <c r="B322" s="86" t="s">
        <v>33</v>
      </c>
      <c r="C322" s="86" t="s">
        <v>35</v>
      </c>
      <c r="D322" s="86" t="s">
        <v>6</v>
      </c>
      <c r="E322" s="83">
        <v>78002</v>
      </c>
      <c r="F322" s="84" t="s">
        <v>170</v>
      </c>
      <c r="G322" s="86" t="s">
        <v>64</v>
      </c>
      <c r="H322" s="79">
        <f>H323</f>
        <v>1</v>
      </c>
      <c r="I322" s="79">
        <f>I323</f>
        <v>0</v>
      </c>
      <c r="J322" s="79">
        <f>J323</f>
        <v>-1</v>
      </c>
      <c r="K322" s="79">
        <f t="shared" si="40"/>
        <v>-100</v>
      </c>
    </row>
    <row r="323" spans="1:12" s="64" customFormat="1" ht="12.75">
      <c r="A323" s="77" t="s">
        <v>67</v>
      </c>
      <c r="B323" s="86" t="s">
        <v>33</v>
      </c>
      <c r="C323" s="86" t="s">
        <v>35</v>
      </c>
      <c r="D323" s="86" t="s">
        <v>6</v>
      </c>
      <c r="E323" s="83">
        <v>78002</v>
      </c>
      <c r="F323" s="84" t="s">
        <v>170</v>
      </c>
      <c r="G323" s="86" t="s">
        <v>65</v>
      </c>
      <c r="H323" s="79">
        <v>1</v>
      </c>
      <c r="I323" s="79">
        <v>0</v>
      </c>
      <c r="J323" s="85">
        <f>I323-H323</f>
        <v>-1</v>
      </c>
      <c r="K323" s="79">
        <f t="shared" si="40"/>
        <v>-100</v>
      </c>
      <c r="L323" s="104" t="s">
        <v>408</v>
      </c>
    </row>
    <row r="324" spans="1:11" s="64" customFormat="1" ht="12.75">
      <c r="A324" s="77" t="s">
        <v>364</v>
      </c>
      <c r="B324" s="86" t="s">
        <v>33</v>
      </c>
      <c r="C324" s="86" t="s">
        <v>35</v>
      </c>
      <c r="D324" s="86" t="s">
        <v>6</v>
      </c>
      <c r="E324" s="83">
        <v>78002</v>
      </c>
      <c r="F324" s="84" t="s">
        <v>365</v>
      </c>
      <c r="G324" s="86"/>
      <c r="H324" s="79">
        <f aca="true" t="shared" si="48" ref="H324:J325">H325</f>
        <v>194.5</v>
      </c>
      <c r="I324" s="79">
        <f t="shared" si="48"/>
        <v>0</v>
      </c>
      <c r="J324" s="79">
        <f t="shared" si="48"/>
        <v>-194.5</v>
      </c>
      <c r="K324" s="79">
        <f t="shared" si="40"/>
        <v>-100</v>
      </c>
    </row>
    <row r="325" spans="1:11" s="64" customFormat="1" ht="12.75">
      <c r="A325" s="77" t="s">
        <v>62</v>
      </c>
      <c r="B325" s="86" t="s">
        <v>33</v>
      </c>
      <c r="C325" s="86" t="s">
        <v>35</v>
      </c>
      <c r="D325" s="86" t="s">
        <v>6</v>
      </c>
      <c r="E325" s="83">
        <v>78002</v>
      </c>
      <c r="F325" s="84" t="s">
        <v>365</v>
      </c>
      <c r="G325" s="86" t="s">
        <v>61</v>
      </c>
      <c r="H325" s="79">
        <f t="shared" si="48"/>
        <v>194.5</v>
      </c>
      <c r="I325" s="79">
        <f t="shared" si="48"/>
        <v>0</v>
      </c>
      <c r="J325" s="79">
        <f t="shared" si="48"/>
        <v>-194.5</v>
      </c>
      <c r="K325" s="79">
        <f t="shared" si="40"/>
        <v>-100</v>
      </c>
    </row>
    <row r="326" spans="1:12" s="64" customFormat="1" ht="25.5">
      <c r="A326" s="77" t="s">
        <v>63</v>
      </c>
      <c r="B326" s="86" t="s">
        <v>33</v>
      </c>
      <c r="C326" s="86" t="s">
        <v>35</v>
      </c>
      <c r="D326" s="86" t="s">
        <v>6</v>
      </c>
      <c r="E326" s="83">
        <v>78002</v>
      </c>
      <c r="F326" s="84" t="s">
        <v>365</v>
      </c>
      <c r="G326" s="86" t="s">
        <v>17</v>
      </c>
      <c r="H326" s="79">
        <v>194.5</v>
      </c>
      <c r="I326" s="79">
        <v>0</v>
      </c>
      <c r="J326" s="85">
        <f>I326-H326</f>
        <v>-194.5</v>
      </c>
      <c r="K326" s="79">
        <f t="shared" si="40"/>
        <v>-100</v>
      </c>
      <c r="L326" s="104" t="s">
        <v>408</v>
      </c>
    </row>
    <row r="327" spans="1:11" s="64" customFormat="1" ht="25.5">
      <c r="A327" s="77" t="s">
        <v>366</v>
      </c>
      <c r="B327" s="86" t="s">
        <v>33</v>
      </c>
      <c r="C327" s="86" t="s">
        <v>35</v>
      </c>
      <c r="D327" s="86" t="s">
        <v>6</v>
      </c>
      <c r="E327" s="81">
        <v>78009</v>
      </c>
      <c r="F327" s="82" t="s">
        <v>141</v>
      </c>
      <c r="G327" s="86"/>
      <c r="H327" s="79">
        <f aca="true" t="shared" si="49" ref="H327:J329">H328</f>
        <v>41.2</v>
      </c>
      <c r="I327" s="79">
        <f t="shared" si="49"/>
        <v>0</v>
      </c>
      <c r="J327" s="79">
        <f t="shared" si="49"/>
        <v>-41.2</v>
      </c>
      <c r="K327" s="79">
        <f t="shared" si="40"/>
        <v>-100</v>
      </c>
    </row>
    <row r="328" spans="1:11" s="64" customFormat="1" ht="25.5">
      <c r="A328" s="77" t="s">
        <v>318</v>
      </c>
      <c r="B328" s="86" t="s">
        <v>33</v>
      </c>
      <c r="C328" s="86" t="s">
        <v>35</v>
      </c>
      <c r="D328" s="86" t="s">
        <v>6</v>
      </c>
      <c r="E328" s="81">
        <v>78009</v>
      </c>
      <c r="F328" s="93">
        <v>72300</v>
      </c>
      <c r="G328" s="86"/>
      <c r="H328" s="79">
        <f t="shared" si="49"/>
        <v>41.2</v>
      </c>
      <c r="I328" s="79">
        <f t="shared" si="49"/>
        <v>0</v>
      </c>
      <c r="J328" s="79">
        <f t="shared" si="49"/>
        <v>-41.2</v>
      </c>
      <c r="K328" s="79">
        <f t="shared" si="40"/>
        <v>-100</v>
      </c>
    </row>
    <row r="329" spans="1:11" s="64" customFormat="1" ht="38.25">
      <c r="A329" s="77" t="s">
        <v>58</v>
      </c>
      <c r="B329" s="86" t="s">
        <v>33</v>
      </c>
      <c r="C329" s="86" t="s">
        <v>35</v>
      </c>
      <c r="D329" s="86" t="s">
        <v>6</v>
      </c>
      <c r="E329" s="81">
        <v>78009</v>
      </c>
      <c r="F329" s="93">
        <v>72300</v>
      </c>
      <c r="G329" s="86" t="s">
        <v>57</v>
      </c>
      <c r="H329" s="79">
        <f t="shared" si="49"/>
        <v>41.2</v>
      </c>
      <c r="I329" s="79">
        <f t="shared" si="49"/>
        <v>0</v>
      </c>
      <c r="J329" s="79">
        <f t="shared" si="49"/>
        <v>-41.2</v>
      </c>
      <c r="K329" s="79">
        <f t="shared" si="40"/>
        <v>-100</v>
      </c>
    </row>
    <row r="330" spans="1:12" s="64" customFormat="1" ht="12.75">
      <c r="A330" s="77" t="s">
        <v>77</v>
      </c>
      <c r="B330" s="86" t="s">
        <v>33</v>
      </c>
      <c r="C330" s="86" t="s">
        <v>35</v>
      </c>
      <c r="D330" s="86" t="s">
        <v>6</v>
      </c>
      <c r="E330" s="81">
        <v>78009</v>
      </c>
      <c r="F330" s="93">
        <v>72300</v>
      </c>
      <c r="G330" s="86" t="s">
        <v>76</v>
      </c>
      <c r="H330" s="85">
        <v>41.2</v>
      </c>
      <c r="I330" s="85">
        <v>0</v>
      </c>
      <c r="J330" s="85">
        <f>I330-H330</f>
        <v>-41.2</v>
      </c>
      <c r="K330" s="79">
        <f t="shared" si="40"/>
        <v>-100</v>
      </c>
      <c r="L330" s="104" t="s">
        <v>408</v>
      </c>
    </row>
    <row r="331" spans="1:11" s="64" customFormat="1" ht="25.5">
      <c r="A331" s="101" t="s">
        <v>84</v>
      </c>
      <c r="B331" s="88" t="s">
        <v>17</v>
      </c>
      <c r="C331" s="86"/>
      <c r="D331" s="86"/>
      <c r="E331" s="86"/>
      <c r="F331" s="86"/>
      <c r="G331" s="86"/>
      <c r="H331" s="76">
        <f>H332+H361</f>
        <v>6207.800000000001</v>
      </c>
      <c r="I331" s="76">
        <f>I332+I361</f>
        <v>1254</v>
      </c>
      <c r="J331" s="76">
        <f>J332+J361</f>
        <v>-4953.800000000001</v>
      </c>
      <c r="K331" s="76">
        <f aca="true" t="shared" si="50" ref="K331:K394">I331/H331*100-100</f>
        <v>-79.79960694610007</v>
      </c>
    </row>
    <row r="332" spans="1:11" s="64" customFormat="1" ht="12.75">
      <c r="A332" s="77" t="s">
        <v>13</v>
      </c>
      <c r="B332" s="86" t="s">
        <v>17</v>
      </c>
      <c r="C332" s="86" t="s">
        <v>1</v>
      </c>
      <c r="D332" s="86"/>
      <c r="E332" s="86"/>
      <c r="F332" s="86"/>
      <c r="G332" s="86"/>
      <c r="H332" s="79">
        <f>H333+H341+H347</f>
        <v>6200.800000000001</v>
      </c>
      <c r="I332" s="79">
        <f>I333+I341+I347</f>
        <v>1254</v>
      </c>
      <c r="J332" s="79">
        <f>J333+J341+J347</f>
        <v>-4946.800000000001</v>
      </c>
      <c r="K332" s="79">
        <f t="shared" si="50"/>
        <v>-79.77680299316218</v>
      </c>
    </row>
    <row r="333" spans="1:11" s="64" customFormat="1" ht="25.5">
      <c r="A333" s="77" t="s">
        <v>86</v>
      </c>
      <c r="B333" s="86" t="s">
        <v>17</v>
      </c>
      <c r="C333" s="86" t="s">
        <v>1</v>
      </c>
      <c r="D333" s="86" t="s">
        <v>2</v>
      </c>
      <c r="E333" s="86"/>
      <c r="F333" s="86"/>
      <c r="G333" s="86"/>
      <c r="H333" s="79">
        <f aca="true" t="shared" si="51" ref="H333:J335">H334</f>
        <v>1733.2</v>
      </c>
      <c r="I333" s="79">
        <f t="shared" si="51"/>
        <v>305.9</v>
      </c>
      <c r="J333" s="79">
        <f t="shared" si="51"/>
        <v>-1427.3000000000002</v>
      </c>
      <c r="K333" s="79">
        <f t="shared" si="50"/>
        <v>-82.35056542810986</v>
      </c>
    </row>
    <row r="334" spans="1:11" s="64" customFormat="1" ht="25.5">
      <c r="A334" s="80" t="s">
        <v>305</v>
      </c>
      <c r="B334" s="86" t="s">
        <v>17</v>
      </c>
      <c r="C334" s="86" t="s">
        <v>1</v>
      </c>
      <c r="D334" s="86" t="s">
        <v>2</v>
      </c>
      <c r="E334" s="83">
        <v>71000</v>
      </c>
      <c r="F334" s="84" t="s">
        <v>141</v>
      </c>
      <c r="G334" s="86"/>
      <c r="H334" s="79">
        <f t="shared" si="51"/>
        <v>1733.2</v>
      </c>
      <c r="I334" s="79">
        <f t="shared" si="51"/>
        <v>305.9</v>
      </c>
      <c r="J334" s="79">
        <f t="shared" si="51"/>
        <v>-1427.3000000000002</v>
      </c>
      <c r="K334" s="79">
        <f t="shared" si="50"/>
        <v>-82.35056542810986</v>
      </c>
    </row>
    <row r="335" spans="1:11" s="64" customFormat="1" ht="25.5">
      <c r="A335" s="80" t="s">
        <v>142</v>
      </c>
      <c r="B335" s="86" t="s">
        <v>17</v>
      </c>
      <c r="C335" s="86" t="s">
        <v>1</v>
      </c>
      <c r="D335" s="86" t="s">
        <v>2</v>
      </c>
      <c r="E335" s="83">
        <v>71001</v>
      </c>
      <c r="F335" s="84" t="s">
        <v>141</v>
      </c>
      <c r="G335" s="86"/>
      <c r="H335" s="79">
        <f t="shared" si="51"/>
        <v>1733.2</v>
      </c>
      <c r="I335" s="79">
        <f t="shared" si="51"/>
        <v>305.9</v>
      </c>
      <c r="J335" s="79">
        <f t="shared" si="51"/>
        <v>-1427.3000000000002</v>
      </c>
      <c r="K335" s="79">
        <f t="shared" si="50"/>
        <v>-82.35056542810986</v>
      </c>
    </row>
    <row r="336" spans="1:11" s="64" customFormat="1" ht="12.75">
      <c r="A336" s="80" t="s">
        <v>143</v>
      </c>
      <c r="B336" s="86" t="s">
        <v>17</v>
      </c>
      <c r="C336" s="86" t="s">
        <v>1</v>
      </c>
      <c r="D336" s="86" t="s">
        <v>2</v>
      </c>
      <c r="E336" s="83">
        <v>71001</v>
      </c>
      <c r="F336" s="84" t="s">
        <v>144</v>
      </c>
      <c r="G336" s="86"/>
      <c r="H336" s="79">
        <f>H337+H339</f>
        <v>1733.2</v>
      </c>
      <c r="I336" s="79">
        <f>I337+I339</f>
        <v>305.9</v>
      </c>
      <c r="J336" s="79">
        <f>J337+J339</f>
        <v>-1427.3000000000002</v>
      </c>
      <c r="K336" s="79">
        <f t="shared" si="50"/>
        <v>-82.35056542810986</v>
      </c>
    </row>
    <row r="337" spans="1:11" s="64" customFormat="1" ht="38.25">
      <c r="A337" s="77" t="s">
        <v>58</v>
      </c>
      <c r="B337" s="86" t="s">
        <v>17</v>
      </c>
      <c r="C337" s="86" t="s">
        <v>1</v>
      </c>
      <c r="D337" s="86" t="s">
        <v>2</v>
      </c>
      <c r="E337" s="83">
        <v>71001</v>
      </c>
      <c r="F337" s="84" t="s">
        <v>144</v>
      </c>
      <c r="G337" s="86" t="s">
        <v>57</v>
      </c>
      <c r="H337" s="79">
        <f>H338</f>
        <v>1732.2</v>
      </c>
      <c r="I337" s="79">
        <f>I338</f>
        <v>305.9</v>
      </c>
      <c r="J337" s="79">
        <f>J338</f>
        <v>-1426.3000000000002</v>
      </c>
      <c r="K337" s="79">
        <f t="shared" si="50"/>
        <v>-82.34037639995381</v>
      </c>
    </row>
    <row r="338" spans="1:12" s="64" customFormat="1" ht="12.75">
      <c r="A338" s="77" t="s">
        <v>60</v>
      </c>
      <c r="B338" s="86" t="s">
        <v>17</v>
      </c>
      <c r="C338" s="86" t="s">
        <v>1</v>
      </c>
      <c r="D338" s="86" t="s">
        <v>2</v>
      </c>
      <c r="E338" s="83">
        <v>71001</v>
      </c>
      <c r="F338" s="84" t="s">
        <v>144</v>
      </c>
      <c r="G338" s="86" t="s">
        <v>59</v>
      </c>
      <c r="H338" s="85">
        <v>1732.2</v>
      </c>
      <c r="I338" s="85">
        <v>305.9</v>
      </c>
      <c r="J338" s="85">
        <f>I338-H338</f>
        <v>-1426.3000000000002</v>
      </c>
      <c r="K338" s="79">
        <f t="shared" si="50"/>
        <v>-82.34037639995381</v>
      </c>
      <c r="L338" s="104" t="s">
        <v>408</v>
      </c>
    </row>
    <row r="339" spans="1:11" s="64" customFormat="1" ht="12.75">
      <c r="A339" s="77" t="s">
        <v>66</v>
      </c>
      <c r="B339" s="86" t="s">
        <v>17</v>
      </c>
      <c r="C339" s="86" t="s">
        <v>1</v>
      </c>
      <c r="D339" s="86" t="s">
        <v>2</v>
      </c>
      <c r="E339" s="83">
        <v>71001</v>
      </c>
      <c r="F339" s="84" t="s">
        <v>144</v>
      </c>
      <c r="G339" s="86" t="s">
        <v>64</v>
      </c>
      <c r="H339" s="79">
        <f>H340</f>
        <v>1</v>
      </c>
      <c r="I339" s="79">
        <f>I340</f>
        <v>0</v>
      </c>
      <c r="J339" s="79">
        <f>J340</f>
        <v>-1</v>
      </c>
      <c r="K339" s="79">
        <f t="shared" si="50"/>
        <v>-100</v>
      </c>
    </row>
    <row r="340" spans="1:12" s="64" customFormat="1" ht="12.75">
      <c r="A340" s="77" t="s">
        <v>67</v>
      </c>
      <c r="B340" s="86" t="s">
        <v>17</v>
      </c>
      <c r="C340" s="86" t="s">
        <v>1</v>
      </c>
      <c r="D340" s="86" t="s">
        <v>2</v>
      </c>
      <c r="E340" s="83">
        <v>71001</v>
      </c>
      <c r="F340" s="84" t="s">
        <v>144</v>
      </c>
      <c r="G340" s="86" t="s">
        <v>65</v>
      </c>
      <c r="H340" s="85">
        <v>1</v>
      </c>
      <c r="I340" s="85">
        <v>0</v>
      </c>
      <c r="J340" s="85">
        <f>I340-H340</f>
        <v>-1</v>
      </c>
      <c r="K340" s="79">
        <f t="shared" si="50"/>
        <v>-100</v>
      </c>
      <c r="L340" s="104" t="s">
        <v>408</v>
      </c>
    </row>
    <row r="341" spans="1:11" s="64" customFormat="1" ht="12.75">
      <c r="A341" s="77" t="s">
        <v>14</v>
      </c>
      <c r="B341" s="86" t="s">
        <v>17</v>
      </c>
      <c r="C341" s="86" t="s">
        <v>1</v>
      </c>
      <c r="D341" s="86" t="s">
        <v>47</v>
      </c>
      <c r="E341" s="86"/>
      <c r="F341" s="86"/>
      <c r="G341" s="86"/>
      <c r="H341" s="79">
        <f aca="true" t="shared" si="52" ref="H341:J345">H342</f>
        <v>75.4</v>
      </c>
      <c r="I341" s="79">
        <f t="shared" si="52"/>
        <v>0</v>
      </c>
      <c r="J341" s="79">
        <f t="shared" si="52"/>
        <v>-75.4</v>
      </c>
      <c r="K341" s="79">
        <f t="shared" si="50"/>
        <v>-100</v>
      </c>
    </row>
    <row r="342" spans="1:11" s="64" customFormat="1" ht="12.75">
      <c r="A342" s="77" t="s">
        <v>127</v>
      </c>
      <c r="B342" s="86" t="s">
        <v>17</v>
      </c>
      <c r="C342" s="86" t="s">
        <v>1</v>
      </c>
      <c r="D342" s="86" t="s">
        <v>47</v>
      </c>
      <c r="E342" s="81">
        <v>99000</v>
      </c>
      <c r="F342" s="82" t="s">
        <v>141</v>
      </c>
      <c r="G342" s="86"/>
      <c r="H342" s="79">
        <f t="shared" si="52"/>
        <v>75.4</v>
      </c>
      <c r="I342" s="79">
        <f t="shared" si="52"/>
        <v>0</v>
      </c>
      <c r="J342" s="79">
        <f t="shared" si="52"/>
        <v>-75.4</v>
      </c>
      <c r="K342" s="79">
        <f t="shared" si="50"/>
        <v>-100</v>
      </c>
    </row>
    <row r="343" spans="1:11" s="64" customFormat="1" ht="12.75">
      <c r="A343" s="77" t="s">
        <v>80</v>
      </c>
      <c r="B343" s="86" t="s">
        <v>17</v>
      </c>
      <c r="C343" s="86" t="s">
        <v>1</v>
      </c>
      <c r="D343" s="86" t="s">
        <v>47</v>
      </c>
      <c r="E343" s="81">
        <v>99400</v>
      </c>
      <c r="F343" s="82" t="s">
        <v>141</v>
      </c>
      <c r="G343" s="86"/>
      <c r="H343" s="79">
        <f t="shared" si="52"/>
        <v>75.4</v>
      </c>
      <c r="I343" s="79">
        <f t="shared" si="52"/>
        <v>0</v>
      </c>
      <c r="J343" s="79">
        <f t="shared" si="52"/>
        <v>-75.4</v>
      </c>
      <c r="K343" s="79">
        <f t="shared" si="50"/>
        <v>-100</v>
      </c>
    </row>
    <row r="344" spans="1:11" s="64" customFormat="1" ht="12.75">
      <c r="A344" s="77" t="s">
        <v>207</v>
      </c>
      <c r="B344" s="86" t="s">
        <v>17</v>
      </c>
      <c r="C344" s="86" t="s">
        <v>1</v>
      </c>
      <c r="D344" s="86" t="s">
        <v>47</v>
      </c>
      <c r="E344" s="81">
        <v>99400</v>
      </c>
      <c r="F344" s="82" t="s">
        <v>208</v>
      </c>
      <c r="G344" s="86"/>
      <c r="H344" s="79">
        <f t="shared" si="52"/>
        <v>75.4</v>
      </c>
      <c r="I344" s="79">
        <f t="shared" si="52"/>
        <v>0</v>
      </c>
      <c r="J344" s="79">
        <f t="shared" si="52"/>
        <v>-75.4</v>
      </c>
      <c r="K344" s="79">
        <f t="shared" si="50"/>
        <v>-100</v>
      </c>
    </row>
    <row r="345" spans="1:11" s="64" customFormat="1" ht="12.75">
      <c r="A345" s="77" t="s">
        <v>66</v>
      </c>
      <c r="B345" s="86" t="s">
        <v>17</v>
      </c>
      <c r="C345" s="86" t="s">
        <v>1</v>
      </c>
      <c r="D345" s="86" t="s">
        <v>47</v>
      </c>
      <c r="E345" s="81">
        <v>99400</v>
      </c>
      <c r="F345" s="82" t="s">
        <v>208</v>
      </c>
      <c r="G345" s="86" t="s">
        <v>64</v>
      </c>
      <c r="H345" s="79">
        <f t="shared" si="52"/>
        <v>75.4</v>
      </c>
      <c r="I345" s="79">
        <f t="shared" si="52"/>
        <v>0</v>
      </c>
      <c r="J345" s="79">
        <f t="shared" si="52"/>
        <v>-75.4</v>
      </c>
      <c r="K345" s="79">
        <f t="shared" si="50"/>
        <v>-100</v>
      </c>
    </row>
    <row r="346" spans="1:12" s="64" customFormat="1" ht="12.75">
      <c r="A346" s="77" t="s">
        <v>79</v>
      </c>
      <c r="B346" s="86" t="s">
        <v>17</v>
      </c>
      <c r="C346" s="86" t="s">
        <v>1</v>
      </c>
      <c r="D346" s="86" t="s">
        <v>47</v>
      </c>
      <c r="E346" s="81">
        <v>99400</v>
      </c>
      <c r="F346" s="82" t="s">
        <v>208</v>
      </c>
      <c r="G346" s="86" t="s">
        <v>78</v>
      </c>
      <c r="H346" s="79">
        <f>100+42-66.6</f>
        <v>75.4</v>
      </c>
      <c r="I346" s="79">
        <v>0</v>
      </c>
      <c r="J346" s="85">
        <f>I346-H346</f>
        <v>-75.4</v>
      </c>
      <c r="K346" s="79">
        <f t="shared" si="50"/>
        <v>-100</v>
      </c>
      <c r="L346" s="104" t="s">
        <v>408</v>
      </c>
    </row>
    <row r="347" spans="1:11" s="64" customFormat="1" ht="12.75">
      <c r="A347" s="77" t="s">
        <v>25</v>
      </c>
      <c r="B347" s="86" t="s">
        <v>17</v>
      </c>
      <c r="C347" s="86" t="s">
        <v>1</v>
      </c>
      <c r="D347" s="86" t="s">
        <v>46</v>
      </c>
      <c r="E347" s="86"/>
      <c r="F347" s="86"/>
      <c r="G347" s="86"/>
      <c r="H347" s="79">
        <f>H348</f>
        <v>4392.200000000001</v>
      </c>
      <c r="I347" s="79">
        <f>I348</f>
        <v>948.0999999999999</v>
      </c>
      <c r="J347" s="79">
        <f>J348</f>
        <v>-3444.1000000000004</v>
      </c>
      <c r="K347" s="79">
        <f t="shared" si="50"/>
        <v>-78.414006648149</v>
      </c>
    </row>
    <row r="348" spans="1:11" s="64" customFormat="1" ht="25.5">
      <c r="A348" s="80" t="s">
        <v>305</v>
      </c>
      <c r="B348" s="86" t="s">
        <v>17</v>
      </c>
      <c r="C348" s="86" t="s">
        <v>1</v>
      </c>
      <c r="D348" s="86" t="s">
        <v>46</v>
      </c>
      <c r="E348" s="83">
        <v>71000</v>
      </c>
      <c r="F348" s="84" t="s">
        <v>141</v>
      </c>
      <c r="G348" s="86"/>
      <c r="H348" s="79">
        <f>H349+H357</f>
        <v>4392.200000000001</v>
      </c>
      <c r="I348" s="79">
        <f>I349+I357</f>
        <v>948.0999999999999</v>
      </c>
      <c r="J348" s="79">
        <f>J349+J357</f>
        <v>-3444.1000000000004</v>
      </c>
      <c r="K348" s="79">
        <f t="shared" si="50"/>
        <v>-78.414006648149</v>
      </c>
    </row>
    <row r="349" spans="1:11" s="64" customFormat="1" ht="25.5">
      <c r="A349" s="80" t="s">
        <v>142</v>
      </c>
      <c r="B349" s="86" t="s">
        <v>17</v>
      </c>
      <c r="C349" s="86" t="s">
        <v>1</v>
      </c>
      <c r="D349" s="86" t="s">
        <v>46</v>
      </c>
      <c r="E349" s="83">
        <v>71001</v>
      </c>
      <c r="F349" s="84" t="s">
        <v>141</v>
      </c>
      <c r="G349" s="86"/>
      <c r="H349" s="79">
        <f>H350</f>
        <v>4235.6</v>
      </c>
      <c r="I349" s="79">
        <f>I350</f>
        <v>925.8</v>
      </c>
      <c r="J349" s="79">
        <f>J350</f>
        <v>-3309.8</v>
      </c>
      <c r="K349" s="79">
        <f t="shared" si="50"/>
        <v>-78.14241193691566</v>
      </c>
    </row>
    <row r="350" spans="1:11" s="64" customFormat="1" ht="12.75">
      <c r="A350" s="80" t="s">
        <v>143</v>
      </c>
      <c r="B350" s="86" t="s">
        <v>17</v>
      </c>
      <c r="C350" s="86" t="s">
        <v>1</v>
      </c>
      <c r="D350" s="86" t="s">
        <v>46</v>
      </c>
      <c r="E350" s="83">
        <v>71001</v>
      </c>
      <c r="F350" s="84" t="s">
        <v>144</v>
      </c>
      <c r="G350" s="86"/>
      <c r="H350" s="79">
        <f>H351+H353+H355</f>
        <v>4235.6</v>
      </c>
      <c r="I350" s="79">
        <f>I351+I353+I355</f>
        <v>925.8</v>
      </c>
      <c r="J350" s="79">
        <f>J351+J353+J355</f>
        <v>-3309.8</v>
      </c>
      <c r="K350" s="79">
        <f t="shared" si="50"/>
        <v>-78.14241193691566</v>
      </c>
    </row>
    <row r="351" spans="1:11" s="64" customFormat="1" ht="38.25">
      <c r="A351" s="77" t="s">
        <v>58</v>
      </c>
      <c r="B351" s="86" t="s">
        <v>17</v>
      </c>
      <c r="C351" s="86" t="s">
        <v>1</v>
      </c>
      <c r="D351" s="86" t="s">
        <v>46</v>
      </c>
      <c r="E351" s="83">
        <v>71001</v>
      </c>
      <c r="F351" s="84" t="s">
        <v>144</v>
      </c>
      <c r="G351" s="86" t="s">
        <v>57</v>
      </c>
      <c r="H351" s="79">
        <f>H352</f>
        <v>4194.6</v>
      </c>
      <c r="I351" s="79">
        <f>I352</f>
        <v>925.8</v>
      </c>
      <c r="J351" s="79">
        <f>J352</f>
        <v>-3268.8</v>
      </c>
      <c r="K351" s="79">
        <f t="shared" si="50"/>
        <v>-77.92876555571449</v>
      </c>
    </row>
    <row r="352" spans="1:12" s="64" customFormat="1" ht="12.75">
      <c r="A352" s="77" t="s">
        <v>77</v>
      </c>
      <c r="B352" s="86" t="s">
        <v>17</v>
      </c>
      <c r="C352" s="86" t="s">
        <v>1</v>
      </c>
      <c r="D352" s="86" t="s">
        <v>46</v>
      </c>
      <c r="E352" s="83">
        <v>71001</v>
      </c>
      <c r="F352" s="84" t="s">
        <v>144</v>
      </c>
      <c r="G352" s="86" t="s">
        <v>76</v>
      </c>
      <c r="H352" s="79">
        <f>4194.6</f>
        <v>4194.6</v>
      </c>
      <c r="I352" s="79">
        <v>925.8</v>
      </c>
      <c r="J352" s="85">
        <f>I352-H352</f>
        <v>-3268.8</v>
      </c>
      <c r="K352" s="79">
        <f t="shared" si="50"/>
        <v>-77.92876555571449</v>
      </c>
      <c r="L352" s="104" t="s">
        <v>408</v>
      </c>
    </row>
    <row r="353" spans="1:11" s="64" customFormat="1" ht="12.75">
      <c r="A353" s="77" t="s">
        <v>62</v>
      </c>
      <c r="B353" s="86" t="s">
        <v>17</v>
      </c>
      <c r="C353" s="86" t="s">
        <v>1</v>
      </c>
      <c r="D353" s="86" t="s">
        <v>46</v>
      </c>
      <c r="E353" s="83">
        <v>71001</v>
      </c>
      <c r="F353" s="84" t="s">
        <v>144</v>
      </c>
      <c r="G353" s="86" t="s">
        <v>61</v>
      </c>
      <c r="H353" s="79">
        <f>H354</f>
        <v>40</v>
      </c>
      <c r="I353" s="79">
        <f>I354</f>
        <v>0</v>
      </c>
      <c r="J353" s="79">
        <f>J354</f>
        <v>-40</v>
      </c>
      <c r="K353" s="79">
        <f t="shared" si="50"/>
        <v>-100</v>
      </c>
    </row>
    <row r="354" spans="1:12" s="64" customFormat="1" ht="25.5">
      <c r="A354" s="77" t="s">
        <v>63</v>
      </c>
      <c r="B354" s="86" t="s">
        <v>17</v>
      </c>
      <c r="C354" s="86" t="s">
        <v>1</v>
      </c>
      <c r="D354" s="86" t="s">
        <v>46</v>
      </c>
      <c r="E354" s="83">
        <v>71001</v>
      </c>
      <c r="F354" s="84" t="s">
        <v>144</v>
      </c>
      <c r="G354" s="86" t="s">
        <v>17</v>
      </c>
      <c r="H354" s="79">
        <v>40</v>
      </c>
      <c r="I354" s="79">
        <v>0</v>
      </c>
      <c r="J354" s="85">
        <f>I354-H354</f>
        <v>-40</v>
      </c>
      <c r="K354" s="79">
        <f t="shared" si="50"/>
        <v>-100</v>
      </c>
      <c r="L354" s="104" t="s">
        <v>408</v>
      </c>
    </row>
    <row r="355" spans="1:11" s="64" customFormat="1" ht="12.75">
      <c r="A355" s="77" t="s">
        <v>66</v>
      </c>
      <c r="B355" s="86" t="s">
        <v>17</v>
      </c>
      <c r="C355" s="86" t="s">
        <v>1</v>
      </c>
      <c r="D355" s="86" t="s">
        <v>46</v>
      </c>
      <c r="E355" s="83">
        <v>71001</v>
      </c>
      <c r="F355" s="84" t="s">
        <v>144</v>
      </c>
      <c r="G355" s="86" t="s">
        <v>64</v>
      </c>
      <c r="H355" s="79">
        <f>H356</f>
        <v>1</v>
      </c>
      <c r="I355" s="79">
        <f>I356</f>
        <v>0</v>
      </c>
      <c r="J355" s="79">
        <f>J356</f>
        <v>-1</v>
      </c>
      <c r="K355" s="79">
        <f t="shared" si="50"/>
        <v>-100</v>
      </c>
    </row>
    <row r="356" spans="1:12" s="64" customFormat="1" ht="12.75">
      <c r="A356" s="77" t="s">
        <v>67</v>
      </c>
      <c r="B356" s="86" t="s">
        <v>17</v>
      </c>
      <c r="C356" s="86" t="s">
        <v>1</v>
      </c>
      <c r="D356" s="86" t="s">
        <v>46</v>
      </c>
      <c r="E356" s="83">
        <v>71001</v>
      </c>
      <c r="F356" s="84" t="s">
        <v>144</v>
      </c>
      <c r="G356" s="86" t="s">
        <v>65</v>
      </c>
      <c r="H356" s="79">
        <v>1</v>
      </c>
      <c r="I356" s="79">
        <v>0</v>
      </c>
      <c r="J356" s="85">
        <f>I356-H356</f>
        <v>-1</v>
      </c>
      <c r="K356" s="79">
        <f t="shared" si="50"/>
        <v>-100</v>
      </c>
      <c r="L356" s="104" t="s">
        <v>408</v>
      </c>
    </row>
    <row r="357" spans="1:11" s="64" customFormat="1" ht="25.5">
      <c r="A357" s="77" t="s">
        <v>317</v>
      </c>
      <c r="B357" s="86" t="s">
        <v>17</v>
      </c>
      <c r="C357" s="86" t="s">
        <v>1</v>
      </c>
      <c r="D357" s="86" t="s">
        <v>46</v>
      </c>
      <c r="E357" s="81">
        <v>71008</v>
      </c>
      <c r="F357" s="82" t="s">
        <v>141</v>
      </c>
      <c r="G357" s="86"/>
      <c r="H357" s="79">
        <f aca="true" t="shared" si="53" ref="H357:J359">H358</f>
        <v>156.6</v>
      </c>
      <c r="I357" s="79">
        <f t="shared" si="53"/>
        <v>22.3</v>
      </c>
      <c r="J357" s="79">
        <f t="shared" si="53"/>
        <v>-134.29999999999998</v>
      </c>
      <c r="K357" s="79">
        <f t="shared" si="50"/>
        <v>-85.75989782886334</v>
      </c>
    </row>
    <row r="358" spans="1:11" s="64" customFormat="1" ht="25.5">
      <c r="A358" s="77" t="s">
        <v>318</v>
      </c>
      <c r="B358" s="86" t="s">
        <v>17</v>
      </c>
      <c r="C358" s="86" t="s">
        <v>1</v>
      </c>
      <c r="D358" s="86" t="s">
        <v>46</v>
      </c>
      <c r="E358" s="81">
        <v>71008</v>
      </c>
      <c r="F358" s="93">
        <v>72300</v>
      </c>
      <c r="G358" s="86"/>
      <c r="H358" s="79">
        <f t="shared" si="53"/>
        <v>156.6</v>
      </c>
      <c r="I358" s="79">
        <f t="shared" si="53"/>
        <v>22.3</v>
      </c>
      <c r="J358" s="79">
        <f t="shared" si="53"/>
        <v>-134.29999999999998</v>
      </c>
      <c r="K358" s="79">
        <f t="shared" si="50"/>
        <v>-85.75989782886334</v>
      </c>
    </row>
    <row r="359" spans="1:11" s="64" customFormat="1" ht="38.25">
      <c r="A359" s="77" t="s">
        <v>58</v>
      </c>
      <c r="B359" s="86" t="s">
        <v>17</v>
      </c>
      <c r="C359" s="86" t="s">
        <v>1</v>
      </c>
      <c r="D359" s="86" t="s">
        <v>46</v>
      </c>
      <c r="E359" s="81">
        <v>71008</v>
      </c>
      <c r="F359" s="93">
        <v>72300</v>
      </c>
      <c r="G359" s="86" t="s">
        <v>57</v>
      </c>
      <c r="H359" s="79">
        <f t="shared" si="53"/>
        <v>156.6</v>
      </c>
      <c r="I359" s="79">
        <f t="shared" si="53"/>
        <v>22.3</v>
      </c>
      <c r="J359" s="79">
        <f t="shared" si="53"/>
        <v>-134.29999999999998</v>
      </c>
      <c r="K359" s="79">
        <f t="shared" si="50"/>
        <v>-85.75989782886334</v>
      </c>
    </row>
    <row r="360" spans="1:12" s="64" customFormat="1" ht="12.75">
      <c r="A360" s="77" t="s">
        <v>77</v>
      </c>
      <c r="B360" s="86" t="s">
        <v>17</v>
      </c>
      <c r="C360" s="86" t="s">
        <v>1</v>
      </c>
      <c r="D360" s="86" t="s">
        <v>46</v>
      </c>
      <c r="E360" s="81">
        <v>71008</v>
      </c>
      <c r="F360" s="93">
        <v>72300</v>
      </c>
      <c r="G360" s="86" t="s">
        <v>76</v>
      </c>
      <c r="H360" s="85">
        <v>156.6</v>
      </c>
      <c r="I360" s="85">
        <v>22.3</v>
      </c>
      <c r="J360" s="85">
        <f>I360-H360</f>
        <v>-134.29999999999998</v>
      </c>
      <c r="K360" s="79">
        <f t="shared" si="50"/>
        <v>-85.75989782886334</v>
      </c>
      <c r="L360" s="104" t="s">
        <v>408</v>
      </c>
    </row>
    <row r="361" spans="1:11" s="64" customFormat="1" ht="12.75">
      <c r="A361" s="77" t="s">
        <v>55</v>
      </c>
      <c r="B361" s="86" t="s">
        <v>17</v>
      </c>
      <c r="C361" s="86" t="s">
        <v>46</v>
      </c>
      <c r="D361" s="86"/>
      <c r="E361" s="86"/>
      <c r="F361" s="86"/>
      <c r="G361" s="86"/>
      <c r="H361" s="79">
        <f aca="true" t="shared" si="54" ref="H361:J365">H362</f>
        <v>7</v>
      </c>
      <c r="I361" s="79">
        <f t="shared" si="54"/>
        <v>0</v>
      </c>
      <c r="J361" s="79">
        <f t="shared" si="54"/>
        <v>-7</v>
      </c>
      <c r="K361" s="79">
        <f t="shared" si="50"/>
        <v>-100</v>
      </c>
    </row>
    <row r="362" spans="1:11" s="64" customFormat="1" ht="12.75">
      <c r="A362" s="77" t="s">
        <v>56</v>
      </c>
      <c r="B362" s="86" t="s">
        <v>17</v>
      </c>
      <c r="C362" s="86" t="s">
        <v>46</v>
      </c>
      <c r="D362" s="86" t="s">
        <v>1</v>
      </c>
      <c r="E362" s="86"/>
      <c r="F362" s="86"/>
      <c r="G362" s="86"/>
      <c r="H362" s="79">
        <f t="shared" si="54"/>
        <v>7</v>
      </c>
      <c r="I362" s="79">
        <f t="shared" si="54"/>
        <v>0</v>
      </c>
      <c r="J362" s="79">
        <f t="shared" si="54"/>
        <v>-7</v>
      </c>
      <c r="K362" s="79">
        <f t="shared" si="50"/>
        <v>-100</v>
      </c>
    </row>
    <row r="363" spans="1:11" s="64" customFormat="1" ht="12.75">
      <c r="A363" s="77" t="s">
        <v>209</v>
      </c>
      <c r="B363" s="86" t="s">
        <v>17</v>
      </c>
      <c r="C363" s="86" t="s">
        <v>46</v>
      </c>
      <c r="D363" s="86" t="s">
        <v>1</v>
      </c>
      <c r="E363" s="81">
        <v>95000</v>
      </c>
      <c r="F363" s="82" t="s">
        <v>141</v>
      </c>
      <c r="G363" s="86"/>
      <c r="H363" s="79">
        <f t="shared" si="54"/>
        <v>7</v>
      </c>
      <c r="I363" s="79">
        <f t="shared" si="54"/>
        <v>0</v>
      </c>
      <c r="J363" s="79">
        <f t="shared" si="54"/>
        <v>-7</v>
      </c>
      <c r="K363" s="79">
        <f t="shared" si="50"/>
        <v>-100</v>
      </c>
    </row>
    <row r="364" spans="1:11" s="64" customFormat="1" ht="12.75">
      <c r="A364" s="77" t="s">
        <v>129</v>
      </c>
      <c r="B364" s="86" t="s">
        <v>17</v>
      </c>
      <c r="C364" s="86" t="s">
        <v>46</v>
      </c>
      <c r="D364" s="86" t="s">
        <v>1</v>
      </c>
      <c r="E364" s="81">
        <v>95000</v>
      </c>
      <c r="F364" s="82" t="s">
        <v>210</v>
      </c>
      <c r="G364" s="86"/>
      <c r="H364" s="79">
        <f t="shared" si="54"/>
        <v>7</v>
      </c>
      <c r="I364" s="79">
        <f t="shared" si="54"/>
        <v>0</v>
      </c>
      <c r="J364" s="79">
        <f t="shared" si="54"/>
        <v>-7</v>
      </c>
      <c r="K364" s="79">
        <f t="shared" si="50"/>
        <v>-100</v>
      </c>
    </row>
    <row r="365" spans="1:11" s="64" customFormat="1" ht="12.75">
      <c r="A365" s="77" t="s">
        <v>128</v>
      </c>
      <c r="B365" s="86" t="s">
        <v>17</v>
      </c>
      <c r="C365" s="86" t="s">
        <v>46</v>
      </c>
      <c r="D365" s="86" t="s">
        <v>1</v>
      </c>
      <c r="E365" s="81">
        <v>95000</v>
      </c>
      <c r="F365" s="82" t="s">
        <v>210</v>
      </c>
      <c r="G365" s="86" t="s">
        <v>82</v>
      </c>
      <c r="H365" s="79">
        <f t="shared" si="54"/>
        <v>7</v>
      </c>
      <c r="I365" s="79">
        <f t="shared" si="54"/>
        <v>0</v>
      </c>
      <c r="J365" s="79">
        <f t="shared" si="54"/>
        <v>-7</v>
      </c>
      <c r="K365" s="79">
        <f t="shared" si="50"/>
        <v>-100</v>
      </c>
    </row>
    <row r="366" spans="1:12" s="64" customFormat="1" ht="12.75">
      <c r="A366" s="77" t="s">
        <v>129</v>
      </c>
      <c r="B366" s="86" t="s">
        <v>17</v>
      </c>
      <c r="C366" s="86" t="s">
        <v>46</v>
      </c>
      <c r="D366" s="86" t="s">
        <v>1</v>
      </c>
      <c r="E366" s="81">
        <v>95000</v>
      </c>
      <c r="F366" s="82" t="s">
        <v>210</v>
      </c>
      <c r="G366" s="86" t="s">
        <v>81</v>
      </c>
      <c r="H366" s="79">
        <v>7</v>
      </c>
      <c r="I366" s="79">
        <v>0</v>
      </c>
      <c r="J366" s="85">
        <f>I366-H366</f>
        <v>-7</v>
      </c>
      <c r="K366" s="79">
        <f t="shared" si="50"/>
        <v>-100</v>
      </c>
      <c r="L366" s="104" t="s">
        <v>408</v>
      </c>
    </row>
    <row r="367" spans="1:11" s="64" customFormat="1" ht="38.25">
      <c r="A367" s="87" t="s">
        <v>85</v>
      </c>
      <c r="B367" s="88" t="s">
        <v>34</v>
      </c>
      <c r="C367" s="86"/>
      <c r="D367" s="86"/>
      <c r="E367" s="86"/>
      <c r="F367" s="86"/>
      <c r="G367" s="86"/>
      <c r="H367" s="76">
        <f>H368+H510+H552+H544</f>
        <v>109858.9</v>
      </c>
      <c r="I367" s="76">
        <f>I368+I510+I552+I544</f>
        <v>21313.100000000002</v>
      </c>
      <c r="J367" s="76">
        <f>J368+J510+J552+J544</f>
        <v>-88545.8</v>
      </c>
      <c r="K367" s="76">
        <f t="shared" si="50"/>
        <v>-80.59956908361544</v>
      </c>
    </row>
    <row r="368" spans="1:11" s="64" customFormat="1" ht="12.75">
      <c r="A368" s="77" t="s">
        <v>18</v>
      </c>
      <c r="B368" s="86" t="s">
        <v>34</v>
      </c>
      <c r="C368" s="86" t="s">
        <v>7</v>
      </c>
      <c r="D368" s="86"/>
      <c r="E368" s="86"/>
      <c r="F368" s="86"/>
      <c r="G368" s="86"/>
      <c r="H368" s="79">
        <f>H369+H405+H464+H474+H430</f>
        <v>89034.90000000001</v>
      </c>
      <c r="I368" s="79">
        <f>I369+I405+I464+I474+I430</f>
        <v>18397.5</v>
      </c>
      <c r="J368" s="79">
        <f>J369+J405+J464+J474+J430</f>
        <v>-70637.4</v>
      </c>
      <c r="K368" s="79">
        <f t="shared" si="50"/>
        <v>-79.33675446369907</v>
      </c>
    </row>
    <row r="369" spans="1:11" s="64" customFormat="1" ht="12.75">
      <c r="A369" s="77" t="s">
        <v>22</v>
      </c>
      <c r="B369" s="86" t="s">
        <v>34</v>
      </c>
      <c r="C369" s="86" t="s">
        <v>7</v>
      </c>
      <c r="D369" s="86" t="s">
        <v>1</v>
      </c>
      <c r="E369" s="86"/>
      <c r="F369" s="86"/>
      <c r="G369" s="86"/>
      <c r="H369" s="79">
        <f aca="true" t="shared" si="55" ref="H369:J370">H370</f>
        <v>40109.1</v>
      </c>
      <c r="I369" s="79">
        <f t="shared" si="55"/>
        <v>8835.8</v>
      </c>
      <c r="J369" s="79">
        <f t="shared" si="55"/>
        <v>-31273.3</v>
      </c>
      <c r="K369" s="79">
        <f t="shared" si="50"/>
        <v>-77.97058522878848</v>
      </c>
    </row>
    <row r="370" spans="1:11" s="64" customFormat="1" ht="12.75">
      <c r="A370" s="77" t="s">
        <v>367</v>
      </c>
      <c r="B370" s="86" t="s">
        <v>34</v>
      </c>
      <c r="C370" s="86" t="s">
        <v>7</v>
      </c>
      <c r="D370" s="86" t="s">
        <v>1</v>
      </c>
      <c r="E370" s="83">
        <v>77000</v>
      </c>
      <c r="F370" s="84" t="s">
        <v>141</v>
      </c>
      <c r="G370" s="86"/>
      <c r="H370" s="79">
        <f t="shared" si="55"/>
        <v>40109.1</v>
      </c>
      <c r="I370" s="79">
        <f t="shared" si="55"/>
        <v>8835.8</v>
      </c>
      <c r="J370" s="79">
        <f t="shared" si="55"/>
        <v>-31273.3</v>
      </c>
      <c r="K370" s="79">
        <f t="shared" si="50"/>
        <v>-77.97058522878848</v>
      </c>
    </row>
    <row r="371" spans="1:11" s="64" customFormat="1" ht="25.5">
      <c r="A371" s="77" t="s">
        <v>368</v>
      </c>
      <c r="B371" s="86" t="s">
        <v>34</v>
      </c>
      <c r="C371" s="86" t="s">
        <v>7</v>
      </c>
      <c r="D371" s="86" t="s">
        <v>1</v>
      </c>
      <c r="E371" s="83">
        <v>77100</v>
      </c>
      <c r="F371" s="84" t="s">
        <v>141</v>
      </c>
      <c r="G371" s="86"/>
      <c r="H371" s="79">
        <f>H372+H376+H390+H386+H394+H398</f>
        <v>40109.1</v>
      </c>
      <c r="I371" s="79">
        <f>I372+I376+I390+I386+I394+I398</f>
        <v>8835.8</v>
      </c>
      <c r="J371" s="79">
        <f>J372+J376+J390+J386+J394+J398</f>
        <v>-31273.3</v>
      </c>
      <c r="K371" s="79">
        <f t="shared" si="50"/>
        <v>-77.97058522878848</v>
      </c>
    </row>
    <row r="372" spans="1:11" s="64" customFormat="1" ht="25.5">
      <c r="A372" s="77" t="s">
        <v>369</v>
      </c>
      <c r="B372" s="86" t="s">
        <v>34</v>
      </c>
      <c r="C372" s="86" t="s">
        <v>7</v>
      </c>
      <c r="D372" s="86" t="s">
        <v>1</v>
      </c>
      <c r="E372" s="83">
        <v>77101</v>
      </c>
      <c r="F372" s="84" t="s">
        <v>141</v>
      </c>
      <c r="G372" s="86"/>
      <c r="H372" s="79">
        <f aca="true" t="shared" si="56" ref="H372:J374">H373</f>
        <v>24614.8</v>
      </c>
      <c r="I372" s="79">
        <f t="shared" si="56"/>
        <v>5505</v>
      </c>
      <c r="J372" s="79">
        <f t="shared" si="56"/>
        <v>-19109.8</v>
      </c>
      <c r="K372" s="79">
        <f t="shared" si="50"/>
        <v>-77.6354063409006</v>
      </c>
    </row>
    <row r="373" spans="1:11" s="64" customFormat="1" ht="25.5">
      <c r="A373" s="77" t="s">
        <v>118</v>
      </c>
      <c r="B373" s="86" t="s">
        <v>34</v>
      </c>
      <c r="C373" s="86" t="s">
        <v>7</v>
      </c>
      <c r="D373" s="86" t="s">
        <v>1</v>
      </c>
      <c r="E373" s="83">
        <v>77101</v>
      </c>
      <c r="F373" s="83">
        <v>76700</v>
      </c>
      <c r="G373" s="86"/>
      <c r="H373" s="79">
        <f t="shared" si="56"/>
        <v>24614.8</v>
      </c>
      <c r="I373" s="79">
        <f t="shared" si="56"/>
        <v>5505</v>
      </c>
      <c r="J373" s="79">
        <f t="shared" si="56"/>
        <v>-19109.8</v>
      </c>
      <c r="K373" s="79">
        <f t="shared" si="50"/>
        <v>-77.6354063409006</v>
      </c>
    </row>
    <row r="374" spans="1:11" s="64" customFormat="1" ht="25.5">
      <c r="A374" s="77" t="s">
        <v>89</v>
      </c>
      <c r="B374" s="86" t="s">
        <v>34</v>
      </c>
      <c r="C374" s="86" t="s">
        <v>7</v>
      </c>
      <c r="D374" s="86" t="s">
        <v>1</v>
      </c>
      <c r="E374" s="83">
        <v>77101</v>
      </c>
      <c r="F374" s="83">
        <v>76700</v>
      </c>
      <c r="G374" s="86" t="s">
        <v>74</v>
      </c>
      <c r="H374" s="79">
        <f t="shared" si="56"/>
        <v>24614.8</v>
      </c>
      <c r="I374" s="79">
        <f t="shared" si="56"/>
        <v>5505</v>
      </c>
      <c r="J374" s="79">
        <f t="shared" si="56"/>
        <v>-19109.8</v>
      </c>
      <c r="K374" s="79">
        <f t="shared" si="50"/>
        <v>-77.6354063409006</v>
      </c>
    </row>
    <row r="375" spans="1:12" s="64" customFormat="1" ht="12.75">
      <c r="A375" s="77" t="s">
        <v>92</v>
      </c>
      <c r="B375" s="86" t="s">
        <v>34</v>
      </c>
      <c r="C375" s="86" t="s">
        <v>7</v>
      </c>
      <c r="D375" s="86" t="s">
        <v>1</v>
      </c>
      <c r="E375" s="83">
        <v>77101</v>
      </c>
      <c r="F375" s="83">
        <v>76700</v>
      </c>
      <c r="G375" s="86" t="s">
        <v>75</v>
      </c>
      <c r="H375" s="85">
        <f>24356.8+258</f>
        <v>24614.8</v>
      </c>
      <c r="I375" s="85">
        <v>5505</v>
      </c>
      <c r="J375" s="85">
        <f>I375-H375</f>
        <v>-19109.8</v>
      </c>
      <c r="K375" s="79">
        <f t="shared" si="50"/>
        <v>-77.6354063409006</v>
      </c>
      <c r="L375" s="104" t="s">
        <v>408</v>
      </c>
    </row>
    <row r="376" spans="1:11" s="64" customFormat="1" ht="12.75">
      <c r="A376" s="77" t="s">
        <v>212</v>
      </c>
      <c r="B376" s="86" t="s">
        <v>34</v>
      </c>
      <c r="C376" s="86" t="s">
        <v>7</v>
      </c>
      <c r="D376" s="86" t="s">
        <v>1</v>
      </c>
      <c r="E376" s="83">
        <v>77102</v>
      </c>
      <c r="F376" s="84" t="s">
        <v>141</v>
      </c>
      <c r="G376" s="86"/>
      <c r="H376" s="79">
        <f>H377+H380+H383</f>
        <v>14464</v>
      </c>
      <c r="I376" s="79">
        <f>I377+I380+I383</f>
        <v>3292.8</v>
      </c>
      <c r="J376" s="79">
        <f>J377+J380+J383</f>
        <v>-11171.2</v>
      </c>
      <c r="K376" s="79">
        <f t="shared" si="50"/>
        <v>-77.23451327433628</v>
      </c>
    </row>
    <row r="377" spans="1:11" s="64" customFormat="1" ht="12.75">
      <c r="A377" s="77" t="s">
        <v>117</v>
      </c>
      <c r="B377" s="86" t="s">
        <v>34</v>
      </c>
      <c r="C377" s="86" t="s">
        <v>7</v>
      </c>
      <c r="D377" s="86" t="s">
        <v>1</v>
      </c>
      <c r="E377" s="83">
        <v>77102</v>
      </c>
      <c r="F377" s="84" t="s">
        <v>206</v>
      </c>
      <c r="G377" s="86"/>
      <c r="H377" s="79">
        <f aca="true" t="shared" si="57" ref="H377:J378">H378</f>
        <v>12916.5</v>
      </c>
      <c r="I377" s="79">
        <f t="shared" si="57"/>
        <v>3220.3</v>
      </c>
      <c r="J377" s="79">
        <f t="shared" si="57"/>
        <v>-9696.2</v>
      </c>
      <c r="K377" s="79">
        <f t="shared" si="50"/>
        <v>-75.06832346223823</v>
      </c>
    </row>
    <row r="378" spans="1:11" s="64" customFormat="1" ht="25.5">
      <c r="A378" s="77" t="s">
        <v>89</v>
      </c>
      <c r="B378" s="86" t="s">
        <v>34</v>
      </c>
      <c r="C378" s="86" t="s">
        <v>7</v>
      </c>
      <c r="D378" s="86" t="s">
        <v>1</v>
      </c>
      <c r="E378" s="83">
        <v>77102</v>
      </c>
      <c r="F378" s="84" t="s">
        <v>206</v>
      </c>
      <c r="G378" s="86" t="s">
        <v>74</v>
      </c>
      <c r="H378" s="79">
        <f t="shared" si="57"/>
        <v>12916.5</v>
      </c>
      <c r="I378" s="79">
        <f t="shared" si="57"/>
        <v>3220.3</v>
      </c>
      <c r="J378" s="79">
        <f t="shared" si="57"/>
        <v>-9696.2</v>
      </c>
      <c r="K378" s="79">
        <f t="shared" si="50"/>
        <v>-75.06832346223823</v>
      </c>
    </row>
    <row r="379" spans="1:12" s="64" customFormat="1" ht="12.75">
      <c r="A379" s="77" t="s">
        <v>92</v>
      </c>
      <c r="B379" s="86" t="s">
        <v>34</v>
      </c>
      <c r="C379" s="86" t="s">
        <v>7</v>
      </c>
      <c r="D379" s="86" t="s">
        <v>1</v>
      </c>
      <c r="E379" s="83">
        <v>77102</v>
      </c>
      <c r="F379" s="84" t="s">
        <v>206</v>
      </c>
      <c r="G379" s="86" t="s">
        <v>75</v>
      </c>
      <c r="H379" s="85">
        <f>12675.3+241.2</f>
        <v>12916.5</v>
      </c>
      <c r="I379" s="85">
        <v>3220.3</v>
      </c>
      <c r="J379" s="85">
        <f>I379-H379</f>
        <v>-9696.2</v>
      </c>
      <c r="K379" s="79">
        <f t="shared" si="50"/>
        <v>-75.06832346223823</v>
      </c>
      <c r="L379" s="104" t="s">
        <v>408</v>
      </c>
    </row>
    <row r="380" spans="1:11" s="64" customFormat="1" ht="38.25">
      <c r="A380" s="77" t="s">
        <v>119</v>
      </c>
      <c r="B380" s="86" t="s">
        <v>34</v>
      </c>
      <c r="C380" s="86" t="s">
        <v>7</v>
      </c>
      <c r="D380" s="86" t="s">
        <v>1</v>
      </c>
      <c r="E380" s="83">
        <v>77102</v>
      </c>
      <c r="F380" s="83">
        <v>76900</v>
      </c>
      <c r="G380" s="86"/>
      <c r="H380" s="79">
        <f aca="true" t="shared" si="58" ref="H380:J381">H381</f>
        <v>329.6</v>
      </c>
      <c r="I380" s="79">
        <f t="shared" si="58"/>
        <v>72.5</v>
      </c>
      <c r="J380" s="79">
        <f t="shared" si="58"/>
        <v>-257.1</v>
      </c>
      <c r="K380" s="79">
        <f t="shared" si="50"/>
        <v>-78.00364077669903</v>
      </c>
    </row>
    <row r="381" spans="1:11" s="64" customFormat="1" ht="25.5">
      <c r="A381" s="77" t="s">
        <v>89</v>
      </c>
      <c r="B381" s="86" t="s">
        <v>34</v>
      </c>
      <c r="C381" s="86" t="s">
        <v>7</v>
      </c>
      <c r="D381" s="86" t="s">
        <v>1</v>
      </c>
      <c r="E381" s="83">
        <v>77102</v>
      </c>
      <c r="F381" s="83">
        <v>76900</v>
      </c>
      <c r="G381" s="86" t="s">
        <v>74</v>
      </c>
      <c r="H381" s="79">
        <f t="shared" si="58"/>
        <v>329.6</v>
      </c>
      <c r="I381" s="79">
        <f t="shared" si="58"/>
        <v>72.5</v>
      </c>
      <c r="J381" s="79">
        <f t="shared" si="58"/>
        <v>-257.1</v>
      </c>
      <c r="K381" s="79">
        <f t="shared" si="50"/>
        <v>-78.00364077669903</v>
      </c>
    </row>
    <row r="382" spans="1:12" s="64" customFormat="1" ht="12.75">
      <c r="A382" s="77" t="s">
        <v>92</v>
      </c>
      <c r="B382" s="86" t="s">
        <v>34</v>
      </c>
      <c r="C382" s="86" t="s">
        <v>7</v>
      </c>
      <c r="D382" s="86" t="s">
        <v>1</v>
      </c>
      <c r="E382" s="83">
        <v>77102</v>
      </c>
      <c r="F382" s="83">
        <v>76900</v>
      </c>
      <c r="G382" s="86" t="s">
        <v>75</v>
      </c>
      <c r="H382" s="85">
        <v>329.6</v>
      </c>
      <c r="I382" s="85">
        <v>72.5</v>
      </c>
      <c r="J382" s="85">
        <f>I382-H382</f>
        <v>-257.1</v>
      </c>
      <c r="K382" s="79">
        <f t="shared" si="50"/>
        <v>-78.00364077669903</v>
      </c>
      <c r="L382" s="104" t="s">
        <v>408</v>
      </c>
    </row>
    <row r="383" spans="1:11" s="64" customFormat="1" ht="12.75">
      <c r="A383" s="77" t="s">
        <v>120</v>
      </c>
      <c r="B383" s="86" t="s">
        <v>34</v>
      </c>
      <c r="C383" s="86" t="s">
        <v>7</v>
      </c>
      <c r="D383" s="86" t="s">
        <v>1</v>
      </c>
      <c r="E383" s="83">
        <v>77102</v>
      </c>
      <c r="F383" s="83">
        <v>99150</v>
      </c>
      <c r="G383" s="86"/>
      <c r="H383" s="79">
        <f aca="true" t="shared" si="59" ref="H383:J384">H384</f>
        <v>1217.9</v>
      </c>
      <c r="I383" s="79">
        <f t="shared" si="59"/>
        <v>0</v>
      </c>
      <c r="J383" s="79">
        <f t="shared" si="59"/>
        <v>-1217.9</v>
      </c>
      <c r="K383" s="79">
        <f t="shared" si="50"/>
        <v>-100</v>
      </c>
    </row>
    <row r="384" spans="1:11" s="64" customFormat="1" ht="25.5">
      <c r="A384" s="77" t="s">
        <v>89</v>
      </c>
      <c r="B384" s="86" t="s">
        <v>34</v>
      </c>
      <c r="C384" s="86" t="s">
        <v>7</v>
      </c>
      <c r="D384" s="86" t="s">
        <v>1</v>
      </c>
      <c r="E384" s="83">
        <v>77102</v>
      </c>
      <c r="F384" s="83">
        <v>99150</v>
      </c>
      <c r="G384" s="86" t="s">
        <v>74</v>
      </c>
      <c r="H384" s="79">
        <f t="shared" si="59"/>
        <v>1217.9</v>
      </c>
      <c r="I384" s="79">
        <f t="shared" si="59"/>
        <v>0</v>
      </c>
      <c r="J384" s="79">
        <f t="shared" si="59"/>
        <v>-1217.9</v>
      </c>
      <c r="K384" s="79">
        <f t="shared" si="50"/>
        <v>-100</v>
      </c>
    </row>
    <row r="385" spans="1:12" s="64" customFormat="1" ht="12.75">
      <c r="A385" s="77" t="s">
        <v>92</v>
      </c>
      <c r="B385" s="86" t="s">
        <v>34</v>
      </c>
      <c r="C385" s="86" t="s">
        <v>7</v>
      </c>
      <c r="D385" s="86" t="s">
        <v>1</v>
      </c>
      <c r="E385" s="83">
        <v>77102</v>
      </c>
      <c r="F385" s="83">
        <v>99150</v>
      </c>
      <c r="G385" s="86" t="s">
        <v>75</v>
      </c>
      <c r="H385" s="85">
        <f>1267.2-49.3</f>
        <v>1217.9</v>
      </c>
      <c r="I385" s="85">
        <v>0</v>
      </c>
      <c r="J385" s="85">
        <f>I385-H385</f>
        <v>-1217.9</v>
      </c>
      <c r="K385" s="79">
        <f t="shared" si="50"/>
        <v>-100</v>
      </c>
      <c r="L385" s="104" t="s">
        <v>408</v>
      </c>
    </row>
    <row r="386" spans="1:11" s="64" customFormat="1" ht="25.5">
      <c r="A386" s="77" t="s">
        <v>275</v>
      </c>
      <c r="B386" s="86" t="s">
        <v>34</v>
      </c>
      <c r="C386" s="86" t="s">
        <v>7</v>
      </c>
      <c r="D386" s="86" t="s">
        <v>1</v>
      </c>
      <c r="E386" s="83">
        <v>77103</v>
      </c>
      <c r="F386" s="84" t="s">
        <v>141</v>
      </c>
      <c r="G386" s="86"/>
      <c r="H386" s="79">
        <f aca="true" t="shared" si="60" ref="H386:J388">H387</f>
        <v>219</v>
      </c>
      <c r="I386" s="79">
        <f t="shared" si="60"/>
        <v>0</v>
      </c>
      <c r="J386" s="79">
        <f t="shared" si="60"/>
        <v>-219</v>
      </c>
      <c r="K386" s="79">
        <f t="shared" si="50"/>
        <v>-100</v>
      </c>
    </row>
    <row r="387" spans="1:11" s="64" customFormat="1" ht="12.75">
      <c r="A387" s="77" t="s">
        <v>276</v>
      </c>
      <c r="B387" s="86" t="s">
        <v>34</v>
      </c>
      <c r="C387" s="86" t="s">
        <v>7</v>
      </c>
      <c r="D387" s="86" t="s">
        <v>1</v>
      </c>
      <c r="E387" s="83">
        <v>77103</v>
      </c>
      <c r="F387" s="83">
        <v>69100</v>
      </c>
      <c r="G387" s="86"/>
      <c r="H387" s="79">
        <f t="shared" si="60"/>
        <v>219</v>
      </c>
      <c r="I387" s="79">
        <f t="shared" si="60"/>
        <v>0</v>
      </c>
      <c r="J387" s="79">
        <f t="shared" si="60"/>
        <v>-219</v>
      </c>
      <c r="K387" s="79">
        <f t="shared" si="50"/>
        <v>-100</v>
      </c>
    </row>
    <row r="388" spans="1:11" s="64" customFormat="1" ht="25.5">
      <c r="A388" s="77" t="s">
        <v>89</v>
      </c>
      <c r="B388" s="86" t="s">
        <v>34</v>
      </c>
      <c r="C388" s="86" t="s">
        <v>7</v>
      </c>
      <c r="D388" s="86" t="s">
        <v>1</v>
      </c>
      <c r="E388" s="83">
        <v>77103</v>
      </c>
      <c r="F388" s="83">
        <v>69100</v>
      </c>
      <c r="G388" s="86" t="s">
        <v>74</v>
      </c>
      <c r="H388" s="79">
        <f t="shared" si="60"/>
        <v>219</v>
      </c>
      <c r="I388" s="79">
        <f t="shared" si="60"/>
        <v>0</v>
      </c>
      <c r="J388" s="79">
        <f t="shared" si="60"/>
        <v>-219</v>
      </c>
      <c r="K388" s="79">
        <f t="shared" si="50"/>
        <v>-100</v>
      </c>
    </row>
    <row r="389" spans="1:12" s="64" customFormat="1" ht="12.75">
      <c r="A389" s="77" t="s">
        <v>92</v>
      </c>
      <c r="B389" s="86" t="s">
        <v>34</v>
      </c>
      <c r="C389" s="86" t="s">
        <v>7</v>
      </c>
      <c r="D389" s="86" t="s">
        <v>1</v>
      </c>
      <c r="E389" s="83">
        <v>77103</v>
      </c>
      <c r="F389" s="83">
        <v>69100</v>
      </c>
      <c r="G389" s="86" t="s">
        <v>75</v>
      </c>
      <c r="H389" s="79">
        <v>219</v>
      </c>
      <c r="I389" s="79">
        <v>0</v>
      </c>
      <c r="J389" s="85">
        <f>I389-H389</f>
        <v>-219</v>
      </c>
      <c r="K389" s="79">
        <f t="shared" si="50"/>
        <v>-100</v>
      </c>
      <c r="L389" s="104" t="s">
        <v>408</v>
      </c>
    </row>
    <row r="390" spans="1:11" s="64" customFormat="1" ht="25.5">
      <c r="A390" s="94" t="s">
        <v>213</v>
      </c>
      <c r="B390" s="86" t="s">
        <v>34</v>
      </c>
      <c r="C390" s="86" t="s">
        <v>7</v>
      </c>
      <c r="D390" s="86" t="s">
        <v>1</v>
      </c>
      <c r="E390" s="83">
        <v>77104</v>
      </c>
      <c r="F390" s="84" t="s">
        <v>141</v>
      </c>
      <c r="G390" s="86"/>
      <c r="H390" s="79">
        <f aca="true" t="shared" si="61" ref="H390:J392">H391</f>
        <v>16</v>
      </c>
      <c r="I390" s="79">
        <f t="shared" si="61"/>
        <v>0</v>
      </c>
      <c r="J390" s="79">
        <f t="shared" si="61"/>
        <v>-16</v>
      </c>
      <c r="K390" s="79">
        <f t="shared" si="50"/>
        <v>-100</v>
      </c>
    </row>
    <row r="391" spans="1:11" s="64" customFormat="1" ht="25.5">
      <c r="A391" s="94" t="s">
        <v>214</v>
      </c>
      <c r="B391" s="86" t="s">
        <v>34</v>
      </c>
      <c r="C391" s="86" t="s">
        <v>7</v>
      </c>
      <c r="D391" s="86" t="s">
        <v>1</v>
      </c>
      <c r="E391" s="83">
        <v>77104</v>
      </c>
      <c r="F391" s="83">
        <v>99160</v>
      </c>
      <c r="G391" s="86"/>
      <c r="H391" s="79">
        <f t="shared" si="61"/>
        <v>16</v>
      </c>
      <c r="I391" s="79">
        <f t="shared" si="61"/>
        <v>0</v>
      </c>
      <c r="J391" s="79">
        <f t="shared" si="61"/>
        <v>-16</v>
      </c>
      <c r="K391" s="79">
        <f t="shared" si="50"/>
        <v>-100</v>
      </c>
    </row>
    <row r="392" spans="1:11" s="64" customFormat="1" ht="12.75">
      <c r="A392" s="77" t="s">
        <v>62</v>
      </c>
      <c r="B392" s="86" t="s">
        <v>34</v>
      </c>
      <c r="C392" s="86" t="s">
        <v>7</v>
      </c>
      <c r="D392" s="86" t="s">
        <v>1</v>
      </c>
      <c r="E392" s="83">
        <v>77104</v>
      </c>
      <c r="F392" s="83">
        <v>99160</v>
      </c>
      <c r="G392" s="86" t="s">
        <v>61</v>
      </c>
      <c r="H392" s="79">
        <f t="shared" si="61"/>
        <v>16</v>
      </c>
      <c r="I392" s="79">
        <f t="shared" si="61"/>
        <v>0</v>
      </c>
      <c r="J392" s="79">
        <f t="shared" si="61"/>
        <v>-16</v>
      </c>
      <c r="K392" s="79">
        <f t="shared" si="50"/>
        <v>-100</v>
      </c>
    </row>
    <row r="393" spans="1:12" s="64" customFormat="1" ht="25.5">
      <c r="A393" s="77" t="s">
        <v>63</v>
      </c>
      <c r="B393" s="86" t="s">
        <v>34</v>
      </c>
      <c r="C393" s="86" t="s">
        <v>7</v>
      </c>
      <c r="D393" s="86" t="s">
        <v>1</v>
      </c>
      <c r="E393" s="83">
        <v>77104</v>
      </c>
      <c r="F393" s="83">
        <v>99160</v>
      </c>
      <c r="G393" s="86" t="s">
        <v>17</v>
      </c>
      <c r="H393" s="85">
        <v>16</v>
      </c>
      <c r="I393" s="85">
        <v>0</v>
      </c>
      <c r="J393" s="85">
        <f>I393-H393</f>
        <v>-16</v>
      </c>
      <c r="K393" s="79">
        <f t="shared" si="50"/>
        <v>-100</v>
      </c>
      <c r="L393" s="104" t="s">
        <v>408</v>
      </c>
    </row>
    <row r="394" spans="1:11" s="64" customFormat="1" ht="25.5">
      <c r="A394" s="77" t="s">
        <v>370</v>
      </c>
      <c r="B394" s="86" t="s">
        <v>34</v>
      </c>
      <c r="C394" s="86" t="s">
        <v>7</v>
      </c>
      <c r="D394" s="86" t="s">
        <v>1</v>
      </c>
      <c r="E394" s="83">
        <v>77106</v>
      </c>
      <c r="F394" s="84" t="s">
        <v>141</v>
      </c>
      <c r="G394" s="86"/>
      <c r="H394" s="85">
        <f aca="true" t="shared" si="62" ref="H394:J396">H395</f>
        <v>503.1</v>
      </c>
      <c r="I394" s="85">
        <f t="shared" si="62"/>
        <v>0</v>
      </c>
      <c r="J394" s="85">
        <f t="shared" si="62"/>
        <v>-503.1</v>
      </c>
      <c r="K394" s="79">
        <f t="shared" si="50"/>
        <v>-100</v>
      </c>
    </row>
    <row r="395" spans="1:11" s="64" customFormat="1" ht="12.75">
      <c r="A395" s="77" t="s">
        <v>371</v>
      </c>
      <c r="B395" s="86" t="s">
        <v>34</v>
      </c>
      <c r="C395" s="86" t="s">
        <v>7</v>
      </c>
      <c r="D395" s="86" t="s">
        <v>1</v>
      </c>
      <c r="E395" s="83">
        <v>77106</v>
      </c>
      <c r="F395" s="83">
        <v>69100</v>
      </c>
      <c r="G395" s="86"/>
      <c r="H395" s="85">
        <f t="shared" si="62"/>
        <v>503.1</v>
      </c>
      <c r="I395" s="85">
        <f t="shared" si="62"/>
        <v>0</v>
      </c>
      <c r="J395" s="85">
        <f t="shared" si="62"/>
        <v>-503.1</v>
      </c>
      <c r="K395" s="79">
        <f aca="true" t="shared" si="63" ref="K395:K458">I395/H395*100-100</f>
        <v>-100</v>
      </c>
    </row>
    <row r="396" spans="1:11" s="64" customFormat="1" ht="25.5">
      <c r="A396" s="77" t="s">
        <v>89</v>
      </c>
      <c r="B396" s="86" t="s">
        <v>34</v>
      </c>
      <c r="C396" s="86" t="s">
        <v>7</v>
      </c>
      <c r="D396" s="86" t="s">
        <v>1</v>
      </c>
      <c r="E396" s="83">
        <v>77106</v>
      </c>
      <c r="F396" s="83">
        <v>69100</v>
      </c>
      <c r="G396" s="86" t="s">
        <v>74</v>
      </c>
      <c r="H396" s="85">
        <f t="shared" si="62"/>
        <v>503.1</v>
      </c>
      <c r="I396" s="85">
        <f t="shared" si="62"/>
        <v>0</v>
      </c>
      <c r="J396" s="85">
        <f t="shared" si="62"/>
        <v>-503.1</v>
      </c>
      <c r="K396" s="79">
        <f t="shared" si="63"/>
        <v>-100</v>
      </c>
    </row>
    <row r="397" spans="1:12" s="64" customFormat="1" ht="12.75">
      <c r="A397" s="77" t="s">
        <v>92</v>
      </c>
      <c r="B397" s="86" t="s">
        <v>34</v>
      </c>
      <c r="C397" s="86" t="s">
        <v>7</v>
      </c>
      <c r="D397" s="86" t="s">
        <v>1</v>
      </c>
      <c r="E397" s="83">
        <v>77106</v>
      </c>
      <c r="F397" s="83">
        <v>69100</v>
      </c>
      <c r="G397" s="86" t="s">
        <v>75</v>
      </c>
      <c r="H397" s="85">
        <v>503.1</v>
      </c>
      <c r="I397" s="85">
        <v>0</v>
      </c>
      <c r="J397" s="85">
        <f>I397-H397</f>
        <v>-503.1</v>
      </c>
      <c r="K397" s="79">
        <f t="shared" si="63"/>
        <v>-100</v>
      </c>
      <c r="L397" s="104" t="s">
        <v>408</v>
      </c>
    </row>
    <row r="398" spans="1:11" s="64" customFormat="1" ht="25.5">
      <c r="A398" s="77" t="s">
        <v>317</v>
      </c>
      <c r="B398" s="86" t="s">
        <v>34</v>
      </c>
      <c r="C398" s="86" t="s">
        <v>7</v>
      </c>
      <c r="D398" s="86" t="s">
        <v>1</v>
      </c>
      <c r="E398" s="81">
        <v>77108</v>
      </c>
      <c r="F398" s="82" t="s">
        <v>141</v>
      </c>
      <c r="G398" s="86"/>
      <c r="H398" s="85">
        <f>H399+H402</f>
        <v>292.2</v>
      </c>
      <c r="I398" s="85">
        <f>I399+I402</f>
        <v>38</v>
      </c>
      <c r="J398" s="85">
        <f>J399+J402</f>
        <v>-254.2</v>
      </c>
      <c r="K398" s="79">
        <f t="shared" si="63"/>
        <v>-86.99520876112251</v>
      </c>
    </row>
    <row r="399" spans="1:11" s="64" customFormat="1" ht="25.5">
      <c r="A399" s="77" t="s">
        <v>318</v>
      </c>
      <c r="B399" s="86" t="s">
        <v>34</v>
      </c>
      <c r="C399" s="86" t="s">
        <v>7</v>
      </c>
      <c r="D399" s="86" t="s">
        <v>1</v>
      </c>
      <c r="E399" s="81">
        <v>77108</v>
      </c>
      <c r="F399" s="93">
        <v>72300</v>
      </c>
      <c r="G399" s="86"/>
      <c r="H399" s="85">
        <f aca="true" t="shared" si="64" ref="H399:J400">H400</f>
        <v>205.2</v>
      </c>
      <c r="I399" s="85">
        <f t="shared" si="64"/>
        <v>38</v>
      </c>
      <c r="J399" s="85">
        <f t="shared" si="64"/>
        <v>-167.2</v>
      </c>
      <c r="K399" s="79">
        <f t="shared" si="63"/>
        <v>-81.48148148148148</v>
      </c>
    </row>
    <row r="400" spans="1:11" s="64" customFormat="1" ht="25.5">
      <c r="A400" s="77" t="s">
        <v>89</v>
      </c>
      <c r="B400" s="86" t="s">
        <v>34</v>
      </c>
      <c r="C400" s="86" t="s">
        <v>7</v>
      </c>
      <c r="D400" s="86" t="s">
        <v>1</v>
      </c>
      <c r="E400" s="81">
        <v>77108</v>
      </c>
      <c r="F400" s="93">
        <v>72300</v>
      </c>
      <c r="G400" s="86" t="s">
        <v>74</v>
      </c>
      <c r="H400" s="85">
        <f t="shared" si="64"/>
        <v>205.2</v>
      </c>
      <c r="I400" s="85">
        <f t="shared" si="64"/>
        <v>38</v>
      </c>
      <c r="J400" s="85">
        <f t="shared" si="64"/>
        <v>-167.2</v>
      </c>
      <c r="K400" s="79">
        <f t="shared" si="63"/>
        <v>-81.48148148148148</v>
      </c>
    </row>
    <row r="401" spans="1:12" s="64" customFormat="1" ht="12.75">
      <c r="A401" s="77" t="s">
        <v>92</v>
      </c>
      <c r="B401" s="86" t="s">
        <v>34</v>
      </c>
      <c r="C401" s="86" t="s">
        <v>7</v>
      </c>
      <c r="D401" s="86" t="s">
        <v>1</v>
      </c>
      <c r="E401" s="81">
        <v>77108</v>
      </c>
      <c r="F401" s="93">
        <v>72300</v>
      </c>
      <c r="G401" s="86" t="s">
        <v>75</v>
      </c>
      <c r="H401" s="85">
        <f>284.5-75.9-3.4</f>
        <v>205.2</v>
      </c>
      <c r="I401" s="85">
        <v>38</v>
      </c>
      <c r="J401" s="85">
        <f>I401-H401</f>
        <v>-167.2</v>
      </c>
      <c r="K401" s="79">
        <f t="shared" si="63"/>
        <v>-81.48148148148148</v>
      </c>
      <c r="L401" s="104" t="s">
        <v>408</v>
      </c>
    </row>
    <row r="402" spans="1:11" s="64" customFormat="1" ht="25.5">
      <c r="A402" s="77" t="s">
        <v>372</v>
      </c>
      <c r="B402" s="86" t="s">
        <v>34</v>
      </c>
      <c r="C402" s="86" t="s">
        <v>7</v>
      </c>
      <c r="D402" s="86" t="s">
        <v>1</v>
      </c>
      <c r="E402" s="81">
        <v>77108</v>
      </c>
      <c r="F402" s="93" t="s">
        <v>373</v>
      </c>
      <c r="G402" s="86"/>
      <c r="H402" s="85">
        <f aca="true" t="shared" si="65" ref="H402:J403">H403</f>
        <v>87</v>
      </c>
      <c r="I402" s="85">
        <f t="shared" si="65"/>
        <v>0</v>
      </c>
      <c r="J402" s="85">
        <f t="shared" si="65"/>
        <v>-87</v>
      </c>
      <c r="K402" s="79">
        <f t="shared" si="63"/>
        <v>-100</v>
      </c>
    </row>
    <row r="403" spans="1:11" s="64" customFormat="1" ht="25.5">
      <c r="A403" s="77" t="s">
        <v>89</v>
      </c>
      <c r="B403" s="86" t="s">
        <v>34</v>
      </c>
      <c r="C403" s="86" t="s">
        <v>7</v>
      </c>
      <c r="D403" s="86" t="s">
        <v>1</v>
      </c>
      <c r="E403" s="81">
        <v>77108</v>
      </c>
      <c r="F403" s="93" t="s">
        <v>373</v>
      </c>
      <c r="G403" s="86" t="s">
        <v>74</v>
      </c>
      <c r="H403" s="85">
        <f t="shared" si="65"/>
        <v>87</v>
      </c>
      <c r="I403" s="85">
        <f t="shared" si="65"/>
        <v>0</v>
      </c>
      <c r="J403" s="85">
        <f t="shared" si="65"/>
        <v>-87</v>
      </c>
      <c r="K403" s="79">
        <f t="shared" si="63"/>
        <v>-100</v>
      </c>
    </row>
    <row r="404" spans="1:12" s="64" customFormat="1" ht="12.75">
      <c r="A404" s="77" t="s">
        <v>92</v>
      </c>
      <c r="B404" s="86" t="s">
        <v>34</v>
      </c>
      <c r="C404" s="86" t="s">
        <v>7</v>
      </c>
      <c r="D404" s="86" t="s">
        <v>1</v>
      </c>
      <c r="E404" s="81">
        <v>77108</v>
      </c>
      <c r="F404" s="93" t="s">
        <v>373</v>
      </c>
      <c r="G404" s="86" t="s">
        <v>75</v>
      </c>
      <c r="H404" s="85">
        <f>75.9+11.1</f>
        <v>87</v>
      </c>
      <c r="I404" s="85">
        <v>0</v>
      </c>
      <c r="J404" s="85">
        <f>I404-H404</f>
        <v>-87</v>
      </c>
      <c r="K404" s="79">
        <f t="shared" si="63"/>
        <v>-100</v>
      </c>
      <c r="L404" s="104" t="s">
        <v>408</v>
      </c>
    </row>
    <row r="405" spans="1:11" s="64" customFormat="1" ht="12.75">
      <c r="A405" s="77" t="s">
        <v>19</v>
      </c>
      <c r="B405" s="86" t="s">
        <v>34</v>
      </c>
      <c r="C405" s="86" t="s">
        <v>7</v>
      </c>
      <c r="D405" s="86" t="s">
        <v>6</v>
      </c>
      <c r="E405" s="86"/>
      <c r="F405" s="86"/>
      <c r="G405" s="86"/>
      <c r="H405" s="79">
        <f aca="true" t="shared" si="66" ref="H405:J406">H406</f>
        <v>32594.899999999998</v>
      </c>
      <c r="I405" s="79">
        <f t="shared" si="66"/>
        <v>6249.000000000001</v>
      </c>
      <c r="J405" s="79">
        <f t="shared" si="66"/>
        <v>-26345.899999999998</v>
      </c>
      <c r="K405" s="79">
        <f t="shared" si="63"/>
        <v>-80.82828908817024</v>
      </c>
    </row>
    <row r="406" spans="1:11" s="64" customFormat="1" ht="12.75">
      <c r="A406" s="77" t="s">
        <v>367</v>
      </c>
      <c r="B406" s="86" t="s">
        <v>34</v>
      </c>
      <c r="C406" s="86" t="s">
        <v>7</v>
      </c>
      <c r="D406" s="86" t="s">
        <v>6</v>
      </c>
      <c r="E406" s="83">
        <v>77000</v>
      </c>
      <c r="F406" s="84" t="s">
        <v>141</v>
      </c>
      <c r="G406" s="86"/>
      <c r="H406" s="79">
        <f t="shared" si="66"/>
        <v>32594.899999999998</v>
      </c>
      <c r="I406" s="79">
        <f t="shared" si="66"/>
        <v>6249.000000000001</v>
      </c>
      <c r="J406" s="79">
        <f t="shared" si="66"/>
        <v>-26345.899999999998</v>
      </c>
      <c r="K406" s="79">
        <f t="shared" si="63"/>
        <v>-80.82828908817024</v>
      </c>
    </row>
    <row r="407" spans="1:11" s="64" customFormat="1" ht="25.5">
      <c r="A407" s="77" t="s">
        <v>374</v>
      </c>
      <c r="B407" s="86" t="s">
        <v>34</v>
      </c>
      <c r="C407" s="86" t="s">
        <v>7</v>
      </c>
      <c r="D407" s="86" t="s">
        <v>6</v>
      </c>
      <c r="E407" s="83">
        <v>77200</v>
      </c>
      <c r="F407" s="84" t="s">
        <v>141</v>
      </c>
      <c r="G407" s="86"/>
      <c r="H407" s="79">
        <f>H408+H415+H426+H422</f>
        <v>32594.899999999998</v>
      </c>
      <c r="I407" s="79">
        <f>I408+I415+I426+I422</f>
        <v>6249.000000000001</v>
      </c>
      <c r="J407" s="79">
        <f>J408+J415+J426+J422</f>
        <v>-26345.899999999998</v>
      </c>
      <c r="K407" s="79">
        <f t="shared" si="63"/>
        <v>-80.82828908817024</v>
      </c>
    </row>
    <row r="408" spans="1:11" s="64" customFormat="1" ht="25.5">
      <c r="A408" s="77" t="s">
        <v>375</v>
      </c>
      <c r="B408" s="86" t="s">
        <v>34</v>
      </c>
      <c r="C408" s="86" t="s">
        <v>7</v>
      </c>
      <c r="D408" s="86" t="s">
        <v>6</v>
      </c>
      <c r="E408" s="83">
        <v>77201</v>
      </c>
      <c r="F408" s="84" t="s">
        <v>141</v>
      </c>
      <c r="G408" s="86"/>
      <c r="H408" s="79">
        <f>H409+H412</f>
        <v>31215.699999999997</v>
      </c>
      <c r="I408" s="79">
        <f>I409+I412</f>
        <v>6077.1</v>
      </c>
      <c r="J408" s="79">
        <f>J409+J412</f>
        <v>-25138.6</v>
      </c>
      <c r="K408" s="79">
        <f t="shared" si="63"/>
        <v>-80.53191182642067</v>
      </c>
    </row>
    <row r="409" spans="1:11" s="64" customFormat="1" ht="12.75">
      <c r="A409" s="77" t="s">
        <v>117</v>
      </c>
      <c r="B409" s="86" t="s">
        <v>34</v>
      </c>
      <c r="C409" s="86" t="s">
        <v>7</v>
      </c>
      <c r="D409" s="86" t="s">
        <v>6</v>
      </c>
      <c r="E409" s="83">
        <v>77201</v>
      </c>
      <c r="F409" s="84" t="s">
        <v>206</v>
      </c>
      <c r="G409" s="86"/>
      <c r="H409" s="79">
        <f aca="true" t="shared" si="67" ref="H409:J410">H410</f>
        <v>3711.6</v>
      </c>
      <c r="I409" s="79">
        <f t="shared" si="67"/>
        <v>798</v>
      </c>
      <c r="J409" s="79">
        <f t="shared" si="67"/>
        <v>-2913.6</v>
      </c>
      <c r="K409" s="79">
        <f t="shared" si="63"/>
        <v>-78.4998383446492</v>
      </c>
    </row>
    <row r="410" spans="1:11" s="64" customFormat="1" ht="25.5">
      <c r="A410" s="77" t="s">
        <v>89</v>
      </c>
      <c r="B410" s="86" t="s">
        <v>34</v>
      </c>
      <c r="C410" s="86" t="s">
        <v>7</v>
      </c>
      <c r="D410" s="86" t="s">
        <v>6</v>
      </c>
      <c r="E410" s="83">
        <v>77201</v>
      </c>
      <c r="F410" s="84" t="s">
        <v>206</v>
      </c>
      <c r="G410" s="86" t="s">
        <v>74</v>
      </c>
      <c r="H410" s="79">
        <f t="shared" si="67"/>
        <v>3711.6</v>
      </c>
      <c r="I410" s="79">
        <f t="shared" si="67"/>
        <v>798</v>
      </c>
      <c r="J410" s="79">
        <f t="shared" si="67"/>
        <v>-2913.6</v>
      </c>
      <c r="K410" s="79">
        <f t="shared" si="63"/>
        <v>-78.4998383446492</v>
      </c>
    </row>
    <row r="411" spans="1:12" s="64" customFormat="1" ht="12.75">
      <c r="A411" s="77" t="s">
        <v>92</v>
      </c>
      <c r="B411" s="86" t="s">
        <v>34</v>
      </c>
      <c r="C411" s="86" t="s">
        <v>7</v>
      </c>
      <c r="D411" s="86" t="s">
        <v>6</v>
      </c>
      <c r="E411" s="83">
        <v>77201</v>
      </c>
      <c r="F411" s="84" t="s">
        <v>206</v>
      </c>
      <c r="G411" s="86" t="s">
        <v>75</v>
      </c>
      <c r="H411" s="85">
        <f>3597.5+114.1</f>
        <v>3711.6</v>
      </c>
      <c r="I411" s="85">
        <v>798</v>
      </c>
      <c r="J411" s="85">
        <f>I411-H411</f>
        <v>-2913.6</v>
      </c>
      <c r="K411" s="79">
        <f t="shared" si="63"/>
        <v>-78.4998383446492</v>
      </c>
      <c r="L411" s="104" t="s">
        <v>408</v>
      </c>
    </row>
    <row r="412" spans="1:11" s="64" customFormat="1" ht="25.5">
      <c r="A412" s="77" t="s">
        <v>376</v>
      </c>
      <c r="B412" s="86" t="s">
        <v>34</v>
      </c>
      <c r="C412" s="86" t="s">
        <v>7</v>
      </c>
      <c r="D412" s="86" t="s">
        <v>6</v>
      </c>
      <c r="E412" s="83">
        <v>77201</v>
      </c>
      <c r="F412" s="83">
        <v>77000</v>
      </c>
      <c r="G412" s="86"/>
      <c r="H412" s="79">
        <f aca="true" t="shared" si="68" ref="H412:J413">H413</f>
        <v>27504.1</v>
      </c>
      <c r="I412" s="79">
        <f t="shared" si="68"/>
        <v>5279.1</v>
      </c>
      <c r="J412" s="79">
        <f t="shared" si="68"/>
        <v>-22225</v>
      </c>
      <c r="K412" s="79">
        <f t="shared" si="63"/>
        <v>-80.80613435815023</v>
      </c>
    </row>
    <row r="413" spans="1:11" s="64" customFormat="1" ht="25.5">
      <c r="A413" s="77" t="s">
        <v>89</v>
      </c>
      <c r="B413" s="86" t="s">
        <v>34</v>
      </c>
      <c r="C413" s="86" t="s">
        <v>7</v>
      </c>
      <c r="D413" s="86" t="s">
        <v>6</v>
      </c>
      <c r="E413" s="83">
        <v>77201</v>
      </c>
      <c r="F413" s="83">
        <v>77000</v>
      </c>
      <c r="G413" s="86" t="s">
        <v>74</v>
      </c>
      <c r="H413" s="79">
        <f t="shared" si="68"/>
        <v>27504.1</v>
      </c>
      <c r="I413" s="79">
        <f t="shared" si="68"/>
        <v>5279.1</v>
      </c>
      <c r="J413" s="79">
        <f t="shared" si="68"/>
        <v>-22225</v>
      </c>
      <c r="K413" s="79">
        <f t="shared" si="63"/>
        <v>-80.80613435815023</v>
      </c>
    </row>
    <row r="414" spans="1:12" s="64" customFormat="1" ht="12.75">
      <c r="A414" s="77" t="s">
        <v>92</v>
      </c>
      <c r="B414" s="86" t="s">
        <v>34</v>
      </c>
      <c r="C414" s="86" t="s">
        <v>7</v>
      </c>
      <c r="D414" s="86" t="s">
        <v>6</v>
      </c>
      <c r="E414" s="83">
        <v>77201</v>
      </c>
      <c r="F414" s="83">
        <v>77000</v>
      </c>
      <c r="G414" s="86" t="s">
        <v>75</v>
      </c>
      <c r="H414" s="85">
        <f>26943+561.1</f>
        <v>27504.1</v>
      </c>
      <c r="I414" s="85">
        <v>5279.1</v>
      </c>
      <c r="J414" s="85">
        <f>I414-H414</f>
        <v>-22225</v>
      </c>
      <c r="K414" s="79">
        <f t="shared" si="63"/>
        <v>-80.80613435815023</v>
      </c>
      <c r="L414" s="104" t="s">
        <v>408</v>
      </c>
    </row>
    <row r="415" spans="1:11" s="64" customFormat="1" ht="12.75">
      <c r="A415" s="77" t="s">
        <v>217</v>
      </c>
      <c r="B415" s="86" t="s">
        <v>34</v>
      </c>
      <c r="C415" s="86" t="s">
        <v>7</v>
      </c>
      <c r="D415" s="86" t="s">
        <v>6</v>
      </c>
      <c r="E415" s="83">
        <v>77202</v>
      </c>
      <c r="F415" s="84" t="s">
        <v>141</v>
      </c>
      <c r="G415" s="86"/>
      <c r="H415" s="79">
        <f>H416+H419</f>
        <v>918.2</v>
      </c>
      <c r="I415" s="79">
        <f>I416+I419</f>
        <v>157.6</v>
      </c>
      <c r="J415" s="79">
        <f>J416+J419</f>
        <v>-760.6</v>
      </c>
      <c r="K415" s="79">
        <f t="shared" si="63"/>
        <v>-82.83598344587236</v>
      </c>
    </row>
    <row r="416" spans="1:11" s="64" customFormat="1" ht="38.25">
      <c r="A416" s="77" t="s">
        <v>108</v>
      </c>
      <c r="B416" s="86" t="s">
        <v>34</v>
      </c>
      <c r="C416" s="86" t="s">
        <v>7</v>
      </c>
      <c r="D416" s="86" t="s">
        <v>6</v>
      </c>
      <c r="E416" s="83">
        <v>77202</v>
      </c>
      <c r="F416" s="83">
        <v>77200</v>
      </c>
      <c r="G416" s="86"/>
      <c r="H416" s="79">
        <f aca="true" t="shared" si="69" ref="H416:J417">H417</f>
        <v>671.7</v>
      </c>
      <c r="I416" s="79">
        <f t="shared" si="69"/>
        <v>130.6</v>
      </c>
      <c r="J416" s="79">
        <f t="shared" si="69"/>
        <v>-541.1</v>
      </c>
      <c r="K416" s="79">
        <f t="shared" si="63"/>
        <v>-80.55679618877475</v>
      </c>
    </row>
    <row r="417" spans="1:11" s="64" customFormat="1" ht="25.5">
      <c r="A417" s="77" t="s">
        <v>89</v>
      </c>
      <c r="B417" s="86" t="s">
        <v>34</v>
      </c>
      <c r="C417" s="86" t="s">
        <v>7</v>
      </c>
      <c r="D417" s="86" t="s">
        <v>6</v>
      </c>
      <c r="E417" s="83">
        <v>77202</v>
      </c>
      <c r="F417" s="83">
        <v>77200</v>
      </c>
      <c r="G417" s="86" t="s">
        <v>74</v>
      </c>
      <c r="H417" s="79">
        <f t="shared" si="69"/>
        <v>671.7</v>
      </c>
      <c r="I417" s="79">
        <f t="shared" si="69"/>
        <v>130.6</v>
      </c>
      <c r="J417" s="79">
        <f t="shared" si="69"/>
        <v>-541.1</v>
      </c>
      <c r="K417" s="79">
        <f t="shared" si="63"/>
        <v>-80.55679618877475</v>
      </c>
    </row>
    <row r="418" spans="1:12" s="64" customFormat="1" ht="12.75">
      <c r="A418" s="77" t="s">
        <v>92</v>
      </c>
      <c r="B418" s="86" t="s">
        <v>34</v>
      </c>
      <c r="C418" s="86" t="s">
        <v>7</v>
      </c>
      <c r="D418" s="86" t="s">
        <v>6</v>
      </c>
      <c r="E418" s="83">
        <v>77202</v>
      </c>
      <c r="F418" s="83">
        <v>77200</v>
      </c>
      <c r="G418" s="86" t="s">
        <v>75</v>
      </c>
      <c r="H418" s="85">
        <v>671.7</v>
      </c>
      <c r="I418" s="85">
        <v>130.6</v>
      </c>
      <c r="J418" s="85">
        <f>I418-H418</f>
        <v>-541.1</v>
      </c>
      <c r="K418" s="79">
        <f t="shared" si="63"/>
        <v>-80.55679618877475</v>
      </c>
      <c r="L418" s="104" t="s">
        <v>408</v>
      </c>
    </row>
    <row r="419" spans="1:11" s="64" customFormat="1" ht="51">
      <c r="A419" s="77" t="s">
        <v>218</v>
      </c>
      <c r="B419" s="86" t="s">
        <v>34</v>
      </c>
      <c r="C419" s="86" t="s">
        <v>7</v>
      </c>
      <c r="D419" s="86" t="s">
        <v>6</v>
      </c>
      <c r="E419" s="83">
        <v>77202</v>
      </c>
      <c r="F419" s="83">
        <v>77270</v>
      </c>
      <c r="G419" s="86"/>
      <c r="H419" s="79">
        <f aca="true" t="shared" si="70" ref="H419:J420">H420</f>
        <v>246.5</v>
      </c>
      <c r="I419" s="79">
        <f t="shared" si="70"/>
        <v>27</v>
      </c>
      <c r="J419" s="79">
        <f t="shared" si="70"/>
        <v>-219.5</v>
      </c>
      <c r="K419" s="79">
        <f t="shared" si="63"/>
        <v>-89.04665314401623</v>
      </c>
    </row>
    <row r="420" spans="1:11" s="64" customFormat="1" ht="25.5">
      <c r="A420" s="77" t="s">
        <v>89</v>
      </c>
      <c r="B420" s="86" t="s">
        <v>34</v>
      </c>
      <c r="C420" s="86" t="s">
        <v>7</v>
      </c>
      <c r="D420" s="86" t="s">
        <v>6</v>
      </c>
      <c r="E420" s="83">
        <v>77202</v>
      </c>
      <c r="F420" s="83">
        <v>77270</v>
      </c>
      <c r="G420" s="86" t="s">
        <v>74</v>
      </c>
      <c r="H420" s="79">
        <f t="shared" si="70"/>
        <v>246.5</v>
      </c>
      <c r="I420" s="79">
        <f t="shared" si="70"/>
        <v>27</v>
      </c>
      <c r="J420" s="79">
        <f t="shared" si="70"/>
        <v>-219.5</v>
      </c>
      <c r="K420" s="79">
        <f t="shared" si="63"/>
        <v>-89.04665314401623</v>
      </c>
    </row>
    <row r="421" spans="1:12" s="64" customFormat="1" ht="12.75">
      <c r="A421" s="77" t="s">
        <v>92</v>
      </c>
      <c r="B421" s="86" t="s">
        <v>34</v>
      </c>
      <c r="C421" s="86" t="s">
        <v>7</v>
      </c>
      <c r="D421" s="86" t="s">
        <v>6</v>
      </c>
      <c r="E421" s="83">
        <v>77202</v>
      </c>
      <c r="F421" s="83">
        <v>77270</v>
      </c>
      <c r="G421" s="86" t="s">
        <v>75</v>
      </c>
      <c r="H421" s="85">
        <v>246.5</v>
      </c>
      <c r="I421" s="85">
        <v>27</v>
      </c>
      <c r="J421" s="85">
        <f>I421-H421</f>
        <v>-219.5</v>
      </c>
      <c r="K421" s="79">
        <f t="shared" si="63"/>
        <v>-89.04665314401623</v>
      </c>
      <c r="L421" s="104" t="s">
        <v>408</v>
      </c>
    </row>
    <row r="422" spans="1:11" s="64" customFormat="1" ht="25.5">
      <c r="A422" s="77" t="s">
        <v>377</v>
      </c>
      <c r="B422" s="86" t="s">
        <v>34</v>
      </c>
      <c r="C422" s="86" t="s">
        <v>7</v>
      </c>
      <c r="D422" s="86" t="s">
        <v>6</v>
      </c>
      <c r="E422" s="83">
        <v>77203</v>
      </c>
      <c r="F422" s="84" t="s">
        <v>141</v>
      </c>
      <c r="G422" s="86"/>
      <c r="H422" s="79">
        <f aca="true" t="shared" si="71" ref="H422:J424">H423</f>
        <v>300</v>
      </c>
      <c r="I422" s="79">
        <f t="shared" si="71"/>
        <v>0</v>
      </c>
      <c r="J422" s="79">
        <f t="shared" si="71"/>
        <v>-300</v>
      </c>
      <c r="K422" s="79">
        <f t="shared" si="63"/>
        <v>-100</v>
      </c>
    </row>
    <row r="423" spans="1:11" s="64" customFormat="1" ht="12.75">
      <c r="A423" s="77" t="s">
        <v>378</v>
      </c>
      <c r="B423" s="86" t="s">
        <v>34</v>
      </c>
      <c r="C423" s="86" t="s">
        <v>7</v>
      </c>
      <c r="D423" s="86" t="s">
        <v>6</v>
      </c>
      <c r="E423" s="83">
        <v>77203</v>
      </c>
      <c r="F423" s="83">
        <v>69100</v>
      </c>
      <c r="G423" s="86"/>
      <c r="H423" s="79">
        <f t="shared" si="71"/>
        <v>300</v>
      </c>
      <c r="I423" s="79">
        <f t="shared" si="71"/>
        <v>0</v>
      </c>
      <c r="J423" s="79">
        <f t="shared" si="71"/>
        <v>-300</v>
      </c>
      <c r="K423" s="79">
        <f t="shared" si="63"/>
        <v>-100</v>
      </c>
    </row>
    <row r="424" spans="1:11" s="64" customFormat="1" ht="25.5">
      <c r="A424" s="77" t="s">
        <v>89</v>
      </c>
      <c r="B424" s="86" t="s">
        <v>34</v>
      </c>
      <c r="C424" s="86" t="s">
        <v>7</v>
      </c>
      <c r="D424" s="86" t="s">
        <v>6</v>
      </c>
      <c r="E424" s="83">
        <v>77203</v>
      </c>
      <c r="F424" s="83">
        <v>69100</v>
      </c>
      <c r="G424" s="86" t="s">
        <v>74</v>
      </c>
      <c r="H424" s="79">
        <f t="shared" si="71"/>
        <v>300</v>
      </c>
      <c r="I424" s="79">
        <f t="shared" si="71"/>
        <v>0</v>
      </c>
      <c r="J424" s="79">
        <f t="shared" si="71"/>
        <v>-300</v>
      </c>
      <c r="K424" s="79">
        <f t="shared" si="63"/>
        <v>-100</v>
      </c>
    </row>
    <row r="425" spans="1:12" s="64" customFormat="1" ht="12.75">
      <c r="A425" s="77" t="s">
        <v>92</v>
      </c>
      <c r="B425" s="86" t="s">
        <v>34</v>
      </c>
      <c r="C425" s="86" t="s">
        <v>7</v>
      </c>
      <c r="D425" s="86" t="s">
        <v>6</v>
      </c>
      <c r="E425" s="83">
        <v>77203</v>
      </c>
      <c r="F425" s="83">
        <v>69100</v>
      </c>
      <c r="G425" s="86" t="s">
        <v>75</v>
      </c>
      <c r="H425" s="85">
        <v>300</v>
      </c>
      <c r="I425" s="85">
        <v>0</v>
      </c>
      <c r="J425" s="85">
        <f>I425-H425</f>
        <v>-300</v>
      </c>
      <c r="K425" s="79">
        <f t="shared" si="63"/>
        <v>-100</v>
      </c>
      <c r="L425" s="104" t="s">
        <v>408</v>
      </c>
    </row>
    <row r="426" spans="1:11" s="64" customFormat="1" ht="25.5">
      <c r="A426" s="94" t="s">
        <v>279</v>
      </c>
      <c r="B426" s="86" t="s">
        <v>34</v>
      </c>
      <c r="C426" s="86" t="s">
        <v>7</v>
      </c>
      <c r="D426" s="86" t="s">
        <v>6</v>
      </c>
      <c r="E426" s="83">
        <v>77205</v>
      </c>
      <c r="F426" s="84" t="s">
        <v>141</v>
      </c>
      <c r="G426" s="86"/>
      <c r="H426" s="79">
        <f aca="true" t="shared" si="72" ref="H426:J428">H427</f>
        <v>161</v>
      </c>
      <c r="I426" s="79">
        <f t="shared" si="72"/>
        <v>14.3</v>
      </c>
      <c r="J426" s="79">
        <f t="shared" si="72"/>
        <v>-146.7</v>
      </c>
      <c r="K426" s="79">
        <f t="shared" si="63"/>
        <v>-91.11801242236025</v>
      </c>
    </row>
    <row r="427" spans="1:11" s="64" customFormat="1" ht="12.75">
      <c r="A427" s="94" t="s">
        <v>280</v>
      </c>
      <c r="B427" s="86" t="s">
        <v>34</v>
      </c>
      <c r="C427" s="86" t="s">
        <v>7</v>
      </c>
      <c r="D427" s="86" t="s">
        <v>6</v>
      </c>
      <c r="E427" s="83">
        <v>77205</v>
      </c>
      <c r="F427" s="83">
        <v>99170</v>
      </c>
      <c r="G427" s="86"/>
      <c r="H427" s="79">
        <f t="shared" si="72"/>
        <v>161</v>
      </c>
      <c r="I427" s="79">
        <f t="shared" si="72"/>
        <v>14.3</v>
      </c>
      <c r="J427" s="79">
        <f t="shared" si="72"/>
        <v>-146.7</v>
      </c>
      <c r="K427" s="79">
        <f t="shared" si="63"/>
        <v>-91.11801242236025</v>
      </c>
    </row>
    <row r="428" spans="1:11" s="64" customFormat="1" ht="12.75">
      <c r="A428" s="77" t="s">
        <v>62</v>
      </c>
      <c r="B428" s="86" t="s">
        <v>34</v>
      </c>
      <c r="C428" s="86" t="s">
        <v>7</v>
      </c>
      <c r="D428" s="86" t="s">
        <v>6</v>
      </c>
      <c r="E428" s="83">
        <v>77205</v>
      </c>
      <c r="F428" s="83">
        <v>99170</v>
      </c>
      <c r="G428" s="86" t="s">
        <v>61</v>
      </c>
      <c r="H428" s="79">
        <f t="shared" si="72"/>
        <v>161</v>
      </c>
      <c r="I428" s="79">
        <f t="shared" si="72"/>
        <v>14.3</v>
      </c>
      <c r="J428" s="79">
        <f t="shared" si="72"/>
        <v>-146.7</v>
      </c>
      <c r="K428" s="79">
        <f t="shared" si="63"/>
        <v>-91.11801242236025</v>
      </c>
    </row>
    <row r="429" spans="1:12" s="64" customFormat="1" ht="25.5">
      <c r="A429" s="77" t="s">
        <v>63</v>
      </c>
      <c r="B429" s="86" t="s">
        <v>34</v>
      </c>
      <c r="C429" s="86" t="s">
        <v>7</v>
      </c>
      <c r="D429" s="86" t="s">
        <v>6</v>
      </c>
      <c r="E429" s="83">
        <v>77205</v>
      </c>
      <c r="F429" s="83">
        <v>99170</v>
      </c>
      <c r="G429" s="86" t="s">
        <v>17</v>
      </c>
      <c r="H429" s="85">
        <v>161</v>
      </c>
      <c r="I429" s="85">
        <v>14.3</v>
      </c>
      <c r="J429" s="85">
        <f>I429-H429</f>
        <v>-146.7</v>
      </c>
      <c r="K429" s="79">
        <f t="shared" si="63"/>
        <v>-91.11801242236025</v>
      </c>
      <c r="L429" s="104" t="s">
        <v>408</v>
      </c>
    </row>
    <row r="430" spans="1:11" s="64" customFormat="1" ht="12.75">
      <c r="A430" s="77" t="s">
        <v>281</v>
      </c>
      <c r="B430" s="86" t="s">
        <v>34</v>
      </c>
      <c r="C430" s="86" t="s">
        <v>7</v>
      </c>
      <c r="D430" s="86" t="s">
        <v>5</v>
      </c>
      <c r="E430" s="83"/>
      <c r="F430" s="83"/>
      <c r="G430" s="86"/>
      <c r="H430" s="79">
        <f>H431+H437</f>
        <v>13788</v>
      </c>
      <c r="I430" s="79">
        <f>I431+I437</f>
        <v>3038</v>
      </c>
      <c r="J430" s="79">
        <f>J431+J437</f>
        <v>-10750</v>
      </c>
      <c r="K430" s="79">
        <f t="shared" si="63"/>
        <v>-77.96634754859298</v>
      </c>
    </row>
    <row r="431" spans="1:11" s="64" customFormat="1" ht="12.75">
      <c r="A431" s="77" t="s">
        <v>307</v>
      </c>
      <c r="B431" s="86" t="s">
        <v>34</v>
      </c>
      <c r="C431" s="86" t="s">
        <v>7</v>
      </c>
      <c r="D431" s="86" t="s">
        <v>5</v>
      </c>
      <c r="E431" s="83">
        <v>72000</v>
      </c>
      <c r="F431" s="84" t="s">
        <v>141</v>
      </c>
      <c r="G431" s="86"/>
      <c r="H431" s="79">
        <f aca="true" t="shared" si="73" ref="H431:J434">H432</f>
        <v>2.5</v>
      </c>
      <c r="I431" s="79">
        <f t="shared" si="73"/>
        <v>0</v>
      </c>
      <c r="J431" s="79">
        <f t="shared" si="73"/>
        <v>-2.5</v>
      </c>
      <c r="K431" s="79">
        <f t="shared" si="63"/>
        <v>-100</v>
      </c>
    </row>
    <row r="432" spans="1:11" s="64" customFormat="1" ht="25.5">
      <c r="A432" s="77" t="s">
        <v>240</v>
      </c>
      <c r="B432" s="86" t="s">
        <v>34</v>
      </c>
      <c r="C432" s="86" t="s">
        <v>7</v>
      </c>
      <c r="D432" s="86" t="s">
        <v>5</v>
      </c>
      <c r="E432" s="83">
        <v>72001</v>
      </c>
      <c r="F432" s="84" t="s">
        <v>141</v>
      </c>
      <c r="G432" s="86"/>
      <c r="H432" s="79">
        <f t="shared" si="73"/>
        <v>2.5</v>
      </c>
      <c r="I432" s="79">
        <f t="shared" si="73"/>
        <v>0</v>
      </c>
      <c r="J432" s="79">
        <f t="shared" si="73"/>
        <v>-2.5</v>
      </c>
      <c r="K432" s="79">
        <f t="shared" si="63"/>
        <v>-100</v>
      </c>
    </row>
    <row r="433" spans="1:11" s="64" customFormat="1" ht="25.5">
      <c r="A433" s="77" t="s">
        <v>241</v>
      </c>
      <c r="B433" s="86" t="s">
        <v>34</v>
      </c>
      <c r="C433" s="86" t="s">
        <v>7</v>
      </c>
      <c r="D433" s="86" t="s">
        <v>5</v>
      </c>
      <c r="E433" s="83">
        <v>72001</v>
      </c>
      <c r="F433" s="83">
        <v>99990</v>
      </c>
      <c r="G433" s="86"/>
      <c r="H433" s="79">
        <f t="shared" si="73"/>
        <v>2.5</v>
      </c>
      <c r="I433" s="79">
        <f t="shared" si="73"/>
        <v>0</v>
      </c>
      <c r="J433" s="79">
        <f t="shared" si="73"/>
        <v>-2.5</v>
      </c>
      <c r="K433" s="79">
        <f t="shared" si="63"/>
        <v>-100</v>
      </c>
    </row>
    <row r="434" spans="1:11" s="64" customFormat="1" ht="25.5">
      <c r="A434" s="77" t="s">
        <v>89</v>
      </c>
      <c r="B434" s="86" t="s">
        <v>34</v>
      </c>
      <c r="C434" s="86" t="s">
        <v>7</v>
      </c>
      <c r="D434" s="86" t="s">
        <v>5</v>
      </c>
      <c r="E434" s="83">
        <v>72001</v>
      </c>
      <c r="F434" s="83">
        <v>99990</v>
      </c>
      <c r="G434" s="86" t="s">
        <v>74</v>
      </c>
      <c r="H434" s="79">
        <f t="shared" si="73"/>
        <v>2.5</v>
      </c>
      <c r="I434" s="79">
        <f t="shared" si="73"/>
        <v>0</v>
      </c>
      <c r="J434" s="79">
        <f t="shared" si="73"/>
        <v>-2.5</v>
      </c>
      <c r="K434" s="79">
        <f t="shared" si="63"/>
        <v>-100</v>
      </c>
    </row>
    <row r="435" spans="1:12" s="64" customFormat="1" ht="12.75">
      <c r="A435" s="77" t="s">
        <v>92</v>
      </c>
      <c r="B435" s="86" t="s">
        <v>34</v>
      </c>
      <c r="C435" s="86" t="s">
        <v>7</v>
      </c>
      <c r="D435" s="86" t="s">
        <v>5</v>
      </c>
      <c r="E435" s="83">
        <v>72001</v>
      </c>
      <c r="F435" s="83">
        <v>99990</v>
      </c>
      <c r="G435" s="86" t="s">
        <v>75</v>
      </c>
      <c r="H435" s="89">
        <v>2.5</v>
      </c>
      <c r="I435" s="89">
        <v>0</v>
      </c>
      <c r="J435" s="85">
        <f>I435-H435</f>
        <v>-2.5</v>
      </c>
      <c r="K435" s="79">
        <f t="shared" si="63"/>
        <v>-100</v>
      </c>
      <c r="L435" s="104" t="s">
        <v>408</v>
      </c>
    </row>
    <row r="436" spans="1:11" s="64" customFormat="1" ht="12.75">
      <c r="A436" s="77" t="s">
        <v>367</v>
      </c>
      <c r="B436" s="86" t="s">
        <v>34</v>
      </c>
      <c r="C436" s="86" t="s">
        <v>7</v>
      </c>
      <c r="D436" s="86" t="s">
        <v>5</v>
      </c>
      <c r="E436" s="83">
        <v>77000</v>
      </c>
      <c r="F436" s="84" t="s">
        <v>141</v>
      </c>
      <c r="G436" s="86"/>
      <c r="H436" s="79">
        <f>H437</f>
        <v>13785.5</v>
      </c>
      <c r="I436" s="79">
        <f>I437</f>
        <v>3038</v>
      </c>
      <c r="J436" s="79">
        <f>J437</f>
        <v>-10747.5</v>
      </c>
      <c r="K436" s="79">
        <f t="shared" si="63"/>
        <v>-77.9623517464002</v>
      </c>
    </row>
    <row r="437" spans="1:11" s="64" customFormat="1" ht="25.5">
      <c r="A437" s="77" t="s">
        <v>379</v>
      </c>
      <c r="B437" s="86" t="s">
        <v>34</v>
      </c>
      <c r="C437" s="86" t="s">
        <v>7</v>
      </c>
      <c r="D437" s="86" t="s">
        <v>5</v>
      </c>
      <c r="E437" s="83">
        <v>77300</v>
      </c>
      <c r="F437" s="84" t="s">
        <v>141</v>
      </c>
      <c r="G437" s="86"/>
      <c r="H437" s="79">
        <f>H438+H449+H445+H456</f>
        <v>13785.5</v>
      </c>
      <c r="I437" s="79">
        <f>I438+I449+I445+I456</f>
        <v>3038</v>
      </c>
      <c r="J437" s="79">
        <f>J438+J449+J445+J456</f>
        <v>-10747.5</v>
      </c>
      <c r="K437" s="79">
        <f t="shared" si="63"/>
        <v>-77.9623517464002</v>
      </c>
    </row>
    <row r="438" spans="1:11" s="64" customFormat="1" ht="25.5">
      <c r="A438" s="94" t="s">
        <v>380</v>
      </c>
      <c r="B438" s="86" t="s">
        <v>34</v>
      </c>
      <c r="C438" s="86" t="s">
        <v>7</v>
      </c>
      <c r="D438" s="86" t="s">
        <v>5</v>
      </c>
      <c r="E438" s="83">
        <v>77301</v>
      </c>
      <c r="F438" s="84" t="s">
        <v>141</v>
      </c>
      <c r="G438" s="86"/>
      <c r="H438" s="79">
        <f>H439+H442</f>
        <v>12462.5</v>
      </c>
      <c r="I438" s="79">
        <f>I439+I442</f>
        <v>2900</v>
      </c>
      <c r="J438" s="79">
        <f>J439+J442</f>
        <v>-9562.5</v>
      </c>
      <c r="K438" s="79">
        <f t="shared" si="63"/>
        <v>-76.73019057171514</v>
      </c>
    </row>
    <row r="439" spans="1:11" s="64" customFormat="1" ht="25.5">
      <c r="A439" s="94" t="s">
        <v>381</v>
      </c>
      <c r="B439" s="86" t="s">
        <v>34</v>
      </c>
      <c r="C439" s="86" t="s">
        <v>7</v>
      </c>
      <c r="D439" s="86" t="s">
        <v>5</v>
      </c>
      <c r="E439" s="83">
        <v>77301</v>
      </c>
      <c r="F439" s="84" t="s">
        <v>219</v>
      </c>
      <c r="G439" s="86"/>
      <c r="H439" s="79">
        <f aca="true" t="shared" si="74" ref="H439:J440">H440</f>
        <v>6452.1</v>
      </c>
      <c r="I439" s="79">
        <f t="shared" si="74"/>
        <v>1500</v>
      </c>
      <c r="J439" s="79">
        <f t="shared" si="74"/>
        <v>-4952.1</v>
      </c>
      <c r="K439" s="79">
        <f t="shared" si="63"/>
        <v>-76.75175524247919</v>
      </c>
    </row>
    <row r="440" spans="1:11" s="64" customFormat="1" ht="25.5">
      <c r="A440" s="77" t="s">
        <v>89</v>
      </c>
      <c r="B440" s="86" t="s">
        <v>34</v>
      </c>
      <c r="C440" s="86" t="s">
        <v>7</v>
      </c>
      <c r="D440" s="86" t="s">
        <v>5</v>
      </c>
      <c r="E440" s="83">
        <v>77301</v>
      </c>
      <c r="F440" s="84" t="s">
        <v>219</v>
      </c>
      <c r="G440" s="86" t="s">
        <v>74</v>
      </c>
      <c r="H440" s="79">
        <f t="shared" si="74"/>
        <v>6452.1</v>
      </c>
      <c r="I440" s="79">
        <f t="shared" si="74"/>
        <v>1500</v>
      </c>
      <c r="J440" s="79">
        <f t="shared" si="74"/>
        <v>-4952.1</v>
      </c>
      <c r="K440" s="79">
        <f t="shared" si="63"/>
        <v>-76.75175524247919</v>
      </c>
    </row>
    <row r="441" spans="1:12" s="64" customFormat="1" ht="12.75">
      <c r="A441" s="77" t="s">
        <v>92</v>
      </c>
      <c r="B441" s="86" t="s">
        <v>34</v>
      </c>
      <c r="C441" s="86" t="s">
        <v>7</v>
      </c>
      <c r="D441" s="86" t="s">
        <v>5</v>
      </c>
      <c r="E441" s="83">
        <v>77301</v>
      </c>
      <c r="F441" s="84" t="s">
        <v>219</v>
      </c>
      <c r="G441" s="86" t="s">
        <v>75</v>
      </c>
      <c r="H441" s="91">
        <f>6450+2.1</f>
        <v>6452.1</v>
      </c>
      <c r="I441" s="91">
        <v>1500</v>
      </c>
      <c r="J441" s="85">
        <f>I441-H441</f>
        <v>-4952.1</v>
      </c>
      <c r="K441" s="79">
        <f t="shared" si="63"/>
        <v>-76.75175524247919</v>
      </c>
      <c r="L441" s="104" t="s">
        <v>408</v>
      </c>
    </row>
    <row r="442" spans="1:11" s="64" customFormat="1" ht="25.5">
      <c r="A442" s="77" t="s">
        <v>382</v>
      </c>
      <c r="B442" s="86" t="s">
        <v>34</v>
      </c>
      <c r="C442" s="86" t="s">
        <v>7</v>
      </c>
      <c r="D442" s="86" t="s">
        <v>5</v>
      </c>
      <c r="E442" s="83">
        <v>77301</v>
      </c>
      <c r="F442" s="84" t="s">
        <v>220</v>
      </c>
      <c r="G442" s="86"/>
      <c r="H442" s="79">
        <f aca="true" t="shared" si="75" ref="H442:J443">H443</f>
        <v>6010.4</v>
      </c>
      <c r="I442" s="79">
        <f t="shared" si="75"/>
        <v>1400</v>
      </c>
      <c r="J442" s="79">
        <f t="shared" si="75"/>
        <v>-4610.4</v>
      </c>
      <c r="K442" s="79">
        <f t="shared" si="63"/>
        <v>-76.70704112871023</v>
      </c>
    </row>
    <row r="443" spans="1:11" s="64" customFormat="1" ht="25.5">
      <c r="A443" s="77" t="s">
        <v>89</v>
      </c>
      <c r="B443" s="86" t="s">
        <v>34</v>
      </c>
      <c r="C443" s="86" t="s">
        <v>7</v>
      </c>
      <c r="D443" s="86" t="s">
        <v>5</v>
      </c>
      <c r="E443" s="83">
        <v>77301</v>
      </c>
      <c r="F443" s="84" t="s">
        <v>220</v>
      </c>
      <c r="G443" s="86" t="s">
        <v>74</v>
      </c>
      <c r="H443" s="79">
        <f t="shared" si="75"/>
        <v>6010.4</v>
      </c>
      <c r="I443" s="79">
        <f t="shared" si="75"/>
        <v>1400</v>
      </c>
      <c r="J443" s="79">
        <f t="shared" si="75"/>
        <v>-4610.4</v>
      </c>
      <c r="K443" s="79">
        <f t="shared" si="63"/>
        <v>-76.70704112871023</v>
      </c>
    </row>
    <row r="444" spans="1:12" s="64" customFormat="1" ht="12.75">
      <c r="A444" s="77" t="s">
        <v>92</v>
      </c>
      <c r="B444" s="86" t="s">
        <v>34</v>
      </c>
      <c r="C444" s="86" t="s">
        <v>7</v>
      </c>
      <c r="D444" s="86" t="s">
        <v>5</v>
      </c>
      <c r="E444" s="83">
        <v>77301</v>
      </c>
      <c r="F444" s="84" t="s">
        <v>220</v>
      </c>
      <c r="G444" s="86" t="s">
        <v>75</v>
      </c>
      <c r="H444" s="85">
        <f>5980+30.4</f>
        <v>6010.4</v>
      </c>
      <c r="I444" s="85">
        <v>1400</v>
      </c>
      <c r="J444" s="85">
        <f>I444-H444</f>
        <v>-4610.4</v>
      </c>
      <c r="K444" s="79">
        <f t="shared" si="63"/>
        <v>-76.70704112871023</v>
      </c>
      <c r="L444" s="104" t="s">
        <v>408</v>
      </c>
    </row>
    <row r="445" spans="1:11" s="64" customFormat="1" ht="12.75">
      <c r="A445" s="77" t="s">
        <v>384</v>
      </c>
      <c r="B445" s="86" t="s">
        <v>34</v>
      </c>
      <c r="C445" s="86" t="s">
        <v>7</v>
      </c>
      <c r="D445" s="86" t="s">
        <v>5</v>
      </c>
      <c r="E445" s="83">
        <v>77303</v>
      </c>
      <c r="F445" s="84" t="s">
        <v>141</v>
      </c>
      <c r="G445" s="86"/>
      <c r="H445" s="79">
        <f aca="true" t="shared" si="76" ref="H445:J447">H446</f>
        <v>300</v>
      </c>
      <c r="I445" s="79">
        <f t="shared" si="76"/>
        <v>0</v>
      </c>
      <c r="J445" s="79">
        <f t="shared" si="76"/>
        <v>-300</v>
      </c>
      <c r="K445" s="79">
        <f t="shared" si="63"/>
        <v>-100</v>
      </c>
    </row>
    <row r="446" spans="1:11" s="64" customFormat="1" ht="25.5">
      <c r="A446" s="77" t="s">
        <v>385</v>
      </c>
      <c r="B446" s="86" t="s">
        <v>34</v>
      </c>
      <c r="C446" s="86" t="s">
        <v>7</v>
      </c>
      <c r="D446" s="86" t="s">
        <v>5</v>
      </c>
      <c r="E446" s="83">
        <v>77303</v>
      </c>
      <c r="F446" s="84" t="s">
        <v>383</v>
      </c>
      <c r="G446" s="86"/>
      <c r="H446" s="79">
        <f t="shared" si="76"/>
        <v>300</v>
      </c>
      <c r="I446" s="79">
        <f t="shared" si="76"/>
        <v>0</v>
      </c>
      <c r="J446" s="79">
        <f t="shared" si="76"/>
        <v>-300</v>
      </c>
      <c r="K446" s="79">
        <f t="shared" si="63"/>
        <v>-100</v>
      </c>
    </row>
    <row r="447" spans="1:11" s="64" customFormat="1" ht="25.5">
      <c r="A447" s="77" t="s">
        <v>89</v>
      </c>
      <c r="B447" s="86" t="s">
        <v>34</v>
      </c>
      <c r="C447" s="86" t="s">
        <v>7</v>
      </c>
      <c r="D447" s="86" t="s">
        <v>5</v>
      </c>
      <c r="E447" s="83">
        <v>77303</v>
      </c>
      <c r="F447" s="84" t="s">
        <v>383</v>
      </c>
      <c r="G447" s="86" t="s">
        <v>74</v>
      </c>
      <c r="H447" s="79">
        <f t="shared" si="76"/>
        <v>300</v>
      </c>
      <c r="I447" s="79">
        <f t="shared" si="76"/>
        <v>0</v>
      </c>
      <c r="J447" s="79">
        <f t="shared" si="76"/>
        <v>-300</v>
      </c>
      <c r="K447" s="79">
        <f t="shared" si="63"/>
        <v>-100</v>
      </c>
    </row>
    <row r="448" spans="1:12" s="64" customFormat="1" ht="12.75">
      <c r="A448" s="77" t="s">
        <v>92</v>
      </c>
      <c r="B448" s="86" t="s">
        <v>34</v>
      </c>
      <c r="C448" s="86" t="s">
        <v>7</v>
      </c>
      <c r="D448" s="86" t="s">
        <v>5</v>
      </c>
      <c r="E448" s="83">
        <v>77303</v>
      </c>
      <c r="F448" s="84" t="s">
        <v>383</v>
      </c>
      <c r="G448" s="86" t="s">
        <v>75</v>
      </c>
      <c r="H448" s="79">
        <v>300</v>
      </c>
      <c r="I448" s="79">
        <v>0</v>
      </c>
      <c r="J448" s="85">
        <f>I448-H448</f>
        <v>-300</v>
      </c>
      <c r="K448" s="79">
        <f t="shared" si="63"/>
        <v>-100</v>
      </c>
      <c r="L448" s="104" t="s">
        <v>408</v>
      </c>
    </row>
    <row r="449" spans="1:11" s="64" customFormat="1" ht="25.5">
      <c r="A449" s="99" t="s">
        <v>289</v>
      </c>
      <c r="B449" s="86" t="s">
        <v>34</v>
      </c>
      <c r="C449" s="86" t="s">
        <v>7</v>
      </c>
      <c r="D449" s="86" t="s">
        <v>5</v>
      </c>
      <c r="E449" s="83">
        <v>77304</v>
      </c>
      <c r="F449" s="84" t="s">
        <v>141</v>
      </c>
      <c r="G449" s="86"/>
      <c r="H449" s="79">
        <f>H450+H453</f>
        <v>663.3</v>
      </c>
      <c r="I449" s="79">
        <f>I450+I453</f>
        <v>107.5</v>
      </c>
      <c r="J449" s="79">
        <f>J450+J453</f>
        <v>-555.8</v>
      </c>
      <c r="K449" s="79">
        <f t="shared" si="63"/>
        <v>-83.79315543494647</v>
      </c>
    </row>
    <row r="450" spans="1:11" s="64" customFormat="1" ht="25.5">
      <c r="A450" s="77" t="s">
        <v>290</v>
      </c>
      <c r="B450" s="86" t="s">
        <v>34</v>
      </c>
      <c r="C450" s="86" t="s">
        <v>7</v>
      </c>
      <c r="D450" s="86" t="s">
        <v>5</v>
      </c>
      <c r="E450" s="83">
        <v>77304</v>
      </c>
      <c r="F450" s="83">
        <v>71800</v>
      </c>
      <c r="G450" s="86"/>
      <c r="H450" s="79">
        <f aca="true" t="shared" si="77" ref="H450:J454">H451</f>
        <v>497.5</v>
      </c>
      <c r="I450" s="79">
        <f t="shared" si="77"/>
        <v>93</v>
      </c>
      <c r="J450" s="79">
        <f t="shared" si="77"/>
        <v>-404.5</v>
      </c>
      <c r="K450" s="79">
        <f t="shared" si="63"/>
        <v>-81.30653266331659</v>
      </c>
    </row>
    <row r="451" spans="1:11" s="64" customFormat="1" ht="25.5">
      <c r="A451" s="77" t="s">
        <v>89</v>
      </c>
      <c r="B451" s="86" t="s">
        <v>34</v>
      </c>
      <c r="C451" s="86" t="s">
        <v>7</v>
      </c>
      <c r="D451" s="86" t="s">
        <v>5</v>
      </c>
      <c r="E451" s="83">
        <v>77304</v>
      </c>
      <c r="F451" s="83">
        <v>71800</v>
      </c>
      <c r="G451" s="86" t="s">
        <v>74</v>
      </c>
      <c r="H451" s="79">
        <f t="shared" si="77"/>
        <v>497.5</v>
      </c>
      <c r="I451" s="79">
        <f t="shared" si="77"/>
        <v>93</v>
      </c>
      <c r="J451" s="79">
        <f t="shared" si="77"/>
        <v>-404.5</v>
      </c>
      <c r="K451" s="79">
        <f t="shared" si="63"/>
        <v>-81.30653266331659</v>
      </c>
    </row>
    <row r="452" spans="1:12" s="64" customFormat="1" ht="12.75">
      <c r="A452" s="77" t="s">
        <v>92</v>
      </c>
      <c r="B452" s="86" t="s">
        <v>34</v>
      </c>
      <c r="C452" s="86" t="s">
        <v>7</v>
      </c>
      <c r="D452" s="86" t="s">
        <v>5</v>
      </c>
      <c r="E452" s="83">
        <v>77304</v>
      </c>
      <c r="F452" s="83">
        <v>71800</v>
      </c>
      <c r="G452" s="86" t="s">
        <v>75</v>
      </c>
      <c r="H452" s="79">
        <v>497.5</v>
      </c>
      <c r="I452" s="79">
        <v>93</v>
      </c>
      <c r="J452" s="85">
        <f>I452-H452</f>
        <v>-404.5</v>
      </c>
      <c r="K452" s="79">
        <f t="shared" si="63"/>
        <v>-81.30653266331659</v>
      </c>
      <c r="L452" s="104" t="s">
        <v>408</v>
      </c>
    </row>
    <row r="453" spans="1:11" s="64" customFormat="1" ht="25.5">
      <c r="A453" s="77" t="s">
        <v>291</v>
      </c>
      <c r="B453" s="86" t="s">
        <v>34</v>
      </c>
      <c r="C453" s="86" t="s">
        <v>7</v>
      </c>
      <c r="D453" s="86" t="s">
        <v>5</v>
      </c>
      <c r="E453" s="83">
        <v>77304</v>
      </c>
      <c r="F453" s="83" t="s">
        <v>292</v>
      </c>
      <c r="G453" s="86"/>
      <c r="H453" s="79">
        <f t="shared" si="77"/>
        <v>165.8</v>
      </c>
      <c r="I453" s="79">
        <f t="shared" si="77"/>
        <v>14.5</v>
      </c>
      <c r="J453" s="79">
        <f t="shared" si="77"/>
        <v>-151.3</v>
      </c>
      <c r="K453" s="79">
        <f t="shared" si="63"/>
        <v>-91.25452352231605</v>
      </c>
    </row>
    <row r="454" spans="1:11" s="64" customFormat="1" ht="25.5">
      <c r="A454" s="77" t="s">
        <v>89</v>
      </c>
      <c r="B454" s="86" t="s">
        <v>34</v>
      </c>
      <c r="C454" s="86" t="s">
        <v>7</v>
      </c>
      <c r="D454" s="86" t="s">
        <v>5</v>
      </c>
      <c r="E454" s="83">
        <v>77304</v>
      </c>
      <c r="F454" s="83" t="s">
        <v>292</v>
      </c>
      <c r="G454" s="86" t="s">
        <v>74</v>
      </c>
      <c r="H454" s="79">
        <f t="shared" si="77"/>
        <v>165.8</v>
      </c>
      <c r="I454" s="79">
        <f t="shared" si="77"/>
        <v>14.5</v>
      </c>
      <c r="J454" s="79">
        <f t="shared" si="77"/>
        <v>-151.3</v>
      </c>
      <c r="K454" s="79">
        <f t="shared" si="63"/>
        <v>-91.25452352231605</v>
      </c>
    </row>
    <row r="455" spans="1:12" s="64" customFormat="1" ht="12.75">
      <c r="A455" s="77" t="s">
        <v>92</v>
      </c>
      <c r="B455" s="86" t="s">
        <v>34</v>
      </c>
      <c r="C455" s="86" t="s">
        <v>7</v>
      </c>
      <c r="D455" s="86" t="s">
        <v>5</v>
      </c>
      <c r="E455" s="83">
        <v>77304</v>
      </c>
      <c r="F455" s="83" t="s">
        <v>292</v>
      </c>
      <c r="G455" s="86" t="s">
        <v>75</v>
      </c>
      <c r="H455" s="79">
        <f>24.9+140.9</f>
        <v>165.8</v>
      </c>
      <c r="I455" s="79">
        <v>14.5</v>
      </c>
      <c r="J455" s="85">
        <f>I455-H455</f>
        <v>-151.3</v>
      </c>
      <c r="K455" s="79">
        <f t="shared" si="63"/>
        <v>-91.25452352231605</v>
      </c>
      <c r="L455" s="104" t="s">
        <v>408</v>
      </c>
    </row>
    <row r="456" spans="1:11" s="64" customFormat="1" ht="25.5">
      <c r="A456" s="77" t="s">
        <v>317</v>
      </c>
      <c r="B456" s="86" t="s">
        <v>34</v>
      </c>
      <c r="C456" s="86" t="s">
        <v>7</v>
      </c>
      <c r="D456" s="86" t="s">
        <v>5</v>
      </c>
      <c r="E456" s="81">
        <v>77305</v>
      </c>
      <c r="F456" s="82" t="s">
        <v>141</v>
      </c>
      <c r="G456" s="86"/>
      <c r="H456" s="85">
        <f>H457</f>
        <v>359.7</v>
      </c>
      <c r="I456" s="85">
        <f>I457</f>
        <v>30.5</v>
      </c>
      <c r="J456" s="85">
        <f>J457</f>
        <v>-329.2</v>
      </c>
      <c r="K456" s="79">
        <f t="shared" si="63"/>
        <v>-91.52071170419794</v>
      </c>
    </row>
    <row r="457" spans="1:11" s="64" customFormat="1" ht="25.5">
      <c r="A457" s="77" t="s">
        <v>318</v>
      </c>
      <c r="B457" s="86" t="s">
        <v>34</v>
      </c>
      <c r="C457" s="86" t="s">
        <v>7</v>
      </c>
      <c r="D457" s="86" t="s">
        <v>5</v>
      </c>
      <c r="E457" s="81">
        <v>77305</v>
      </c>
      <c r="F457" s="93">
        <v>72300</v>
      </c>
      <c r="G457" s="86"/>
      <c r="H457" s="85">
        <f>H458+H461</f>
        <v>359.7</v>
      </c>
      <c r="I457" s="85">
        <f>I458+I461</f>
        <v>30.5</v>
      </c>
      <c r="J457" s="85">
        <f>J458+J461</f>
        <v>-329.2</v>
      </c>
      <c r="K457" s="79">
        <f t="shared" si="63"/>
        <v>-91.52071170419794</v>
      </c>
    </row>
    <row r="458" spans="1:11" s="64" customFormat="1" ht="25.5">
      <c r="A458" s="77" t="s">
        <v>386</v>
      </c>
      <c r="B458" s="86" t="s">
        <v>34</v>
      </c>
      <c r="C458" s="86" t="s">
        <v>7</v>
      </c>
      <c r="D458" s="86" t="s">
        <v>5</v>
      </c>
      <c r="E458" s="81">
        <v>77305</v>
      </c>
      <c r="F458" s="93">
        <v>72301</v>
      </c>
      <c r="G458" s="86"/>
      <c r="H458" s="85">
        <f aca="true" t="shared" si="78" ref="H458:J459">H459</f>
        <v>183.6</v>
      </c>
      <c r="I458" s="85">
        <f t="shared" si="78"/>
        <v>13.8</v>
      </c>
      <c r="J458" s="85">
        <f t="shared" si="78"/>
        <v>-169.79999999999998</v>
      </c>
      <c r="K458" s="79">
        <f t="shared" si="63"/>
        <v>-92.48366013071896</v>
      </c>
    </row>
    <row r="459" spans="1:11" s="64" customFormat="1" ht="25.5">
      <c r="A459" s="77" t="s">
        <v>89</v>
      </c>
      <c r="B459" s="86" t="s">
        <v>34</v>
      </c>
      <c r="C459" s="86" t="s">
        <v>7</v>
      </c>
      <c r="D459" s="86" t="s">
        <v>5</v>
      </c>
      <c r="E459" s="81">
        <v>77305</v>
      </c>
      <c r="F459" s="93">
        <v>72301</v>
      </c>
      <c r="G459" s="86" t="s">
        <v>74</v>
      </c>
      <c r="H459" s="85">
        <f t="shared" si="78"/>
        <v>183.6</v>
      </c>
      <c r="I459" s="85">
        <f t="shared" si="78"/>
        <v>13.8</v>
      </c>
      <c r="J459" s="85">
        <f t="shared" si="78"/>
        <v>-169.79999999999998</v>
      </c>
      <c r="K459" s="79">
        <f aca="true" t="shared" si="79" ref="K459:K522">I459/H459*100-100</f>
        <v>-92.48366013071896</v>
      </c>
    </row>
    <row r="460" spans="1:12" s="64" customFormat="1" ht="12.75">
      <c r="A460" s="77" t="s">
        <v>92</v>
      </c>
      <c r="B460" s="86" t="s">
        <v>34</v>
      </c>
      <c r="C460" s="86" t="s">
        <v>7</v>
      </c>
      <c r="D460" s="86" t="s">
        <v>5</v>
      </c>
      <c r="E460" s="81">
        <v>77305</v>
      </c>
      <c r="F460" s="93">
        <v>72301</v>
      </c>
      <c r="G460" s="86" t="s">
        <v>75</v>
      </c>
      <c r="H460" s="85">
        <v>183.6</v>
      </c>
      <c r="I460" s="85">
        <v>13.8</v>
      </c>
      <c r="J460" s="85">
        <f>I460-H460</f>
        <v>-169.79999999999998</v>
      </c>
      <c r="K460" s="79">
        <f t="shared" si="79"/>
        <v>-92.48366013071896</v>
      </c>
      <c r="L460" s="104" t="s">
        <v>408</v>
      </c>
    </row>
    <row r="461" spans="1:11" s="64" customFormat="1" ht="25.5">
      <c r="A461" s="77" t="s">
        <v>387</v>
      </c>
      <c r="B461" s="86" t="s">
        <v>34</v>
      </c>
      <c r="C461" s="86" t="s">
        <v>7</v>
      </c>
      <c r="D461" s="86" t="s">
        <v>5</v>
      </c>
      <c r="E461" s="81">
        <v>77305</v>
      </c>
      <c r="F461" s="93">
        <v>72302</v>
      </c>
      <c r="G461" s="86"/>
      <c r="H461" s="85">
        <f aca="true" t="shared" si="80" ref="H461:J462">H462</f>
        <v>176.1</v>
      </c>
      <c r="I461" s="85">
        <f t="shared" si="80"/>
        <v>16.7</v>
      </c>
      <c r="J461" s="85">
        <f t="shared" si="80"/>
        <v>-159.4</v>
      </c>
      <c r="K461" s="79">
        <f t="shared" si="79"/>
        <v>-90.5167518455423</v>
      </c>
    </row>
    <row r="462" spans="1:11" s="64" customFormat="1" ht="25.5">
      <c r="A462" s="77" t="s">
        <v>89</v>
      </c>
      <c r="B462" s="86" t="s">
        <v>34</v>
      </c>
      <c r="C462" s="86" t="s">
        <v>7</v>
      </c>
      <c r="D462" s="86" t="s">
        <v>5</v>
      </c>
      <c r="E462" s="81">
        <v>77305</v>
      </c>
      <c r="F462" s="93">
        <v>72302</v>
      </c>
      <c r="G462" s="86" t="s">
        <v>74</v>
      </c>
      <c r="H462" s="85">
        <f t="shared" si="80"/>
        <v>176.1</v>
      </c>
      <c r="I462" s="85">
        <f t="shared" si="80"/>
        <v>16.7</v>
      </c>
      <c r="J462" s="85">
        <f t="shared" si="80"/>
        <v>-159.4</v>
      </c>
      <c r="K462" s="79">
        <f t="shared" si="79"/>
        <v>-90.5167518455423</v>
      </c>
    </row>
    <row r="463" spans="1:12" s="64" customFormat="1" ht="12.75">
      <c r="A463" s="77" t="s">
        <v>92</v>
      </c>
      <c r="B463" s="86" t="s">
        <v>34</v>
      </c>
      <c r="C463" s="86" t="s">
        <v>7</v>
      </c>
      <c r="D463" s="86" t="s">
        <v>5</v>
      </c>
      <c r="E463" s="81">
        <v>77305</v>
      </c>
      <c r="F463" s="93">
        <v>72302</v>
      </c>
      <c r="G463" s="86" t="s">
        <v>75</v>
      </c>
      <c r="H463" s="85">
        <v>176.1</v>
      </c>
      <c r="I463" s="85">
        <v>16.7</v>
      </c>
      <c r="J463" s="85">
        <f>I463-H463</f>
        <v>-159.4</v>
      </c>
      <c r="K463" s="79">
        <f t="shared" si="79"/>
        <v>-90.5167518455423</v>
      </c>
      <c r="L463" s="104" t="s">
        <v>408</v>
      </c>
    </row>
    <row r="464" spans="1:11" s="64" customFormat="1" ht="12.75">
      <c r="A464" s="77" t="s">
        <v>20</v>
      </c>
      <c r="B464" s="86" t="s">
        <v>34</v>
      </c>
      <c r="C464" s="86" t="s">
        <v>7</v>
      </c>
      <c r="D464" s="86" t="s">
        <v>7</v>
      </c>
      <c r="E464" s="86"/>
      <c r="F464" s="86"/>
      <c r="G464" s="86"/>
      <c r="H464" s="79">
        <f>H465</f>
        <v>481.3</v>
      </c>
      <c r="I464" s="79">
        <f>I465</f>
        <v>0</v>
      </c>
      <c r="J464" s="79">
        <f>J465</f>
        <v>-481.3</v>
      </c>
      <c r="K464" s="79">
        <f t="shared" si="79"/>
        <v>-100</v>
      </c>
    </row>
    <row r="465" spans="1:11" s="64" customFormat="1" ht="25.5">
      <c r="A465" s="77" t="s">
        <v>346</v>
      </c>
      <c r="B465" s="86" t="s">
        <v>34</v>
      </c>
      <c r="C465" s="86" t="s">
        <v>7</v>
      </c>
      <c r="D465" s="86" t="s">
        <v>7</v>
      </c>
      <c r="E465" s="83">
        <v>79000</v>
      </c>
      <c r="F465" s="84" t="s">
        <v>141</v>
      </c>
      <c r="G465" s="86"/>
      <c r="H465" s="79">
        <f>H470+H466</f>
        <v>481.3</v>
      </c>
      <c r="I465" s="79">
        <f>I470+I466</f>
        <v>0</v>
      </c>
      <c r="J465" s="79">
        <f>J470+J466</f>
        <v>-481.3</v>
      </c>
      <c r="K465" s="79">
        <f t="shared" si="79"/>
        <v>-100</v>
      </c>
    </row>
    <row r="466" spans="1:11" s="64" customFormat="1" ht="25.5">
      <c r="A466" s="94" t="s">
        <v>293</v>
      </c>
      <c r="B466" s="86" t="s">
        <v>34</v>
      </c>
      <c r="C466" s="86" t="s">
        <v>7</v>
      </c>
      <c r="D466" s="86" t="s">
        <v>7</v>
      </c>
      <c r="E466" s="83">
        <v>79001</v>
      </c>
      <c r="F466" s="84" t="s">
        <v>141</v>
      </c>
      <c r="G466" s="86"/>
      <c r="H466" s="79">
        <f aca="true" t="shared" si="81" ref="H466:J468">H467</f>
        <v>303.8</v>
      </c>
      <c r="I466" s="79">
        <f t="shared" si="81"/>
        <v>0</v>
      </c>
      <c r="J466" s="79">
        <f t="shared" si="81"/>
        <v>-303.8</v>
      </c>
      <c r="K466" s="79">
        <f t="shared" si="79"/>
        <v>-100</v>
      </c>
    </row>
    <row r="467" spans="1:11" s="64" customFormat="1" ht="25.5">
      <c r="A467" s="94" t="s">
        <v>294</v>
      </c>
      <c r="B467" s="86" t="s">
        <v>34</v>
      </c>
      <c r="C467" s="86" t="s">
        <v>7</v>
      </c>
      <c r="D467" s="86" t="s">
        <v>7</v>
      </c>
      <c r="E467" s="83">
        <v>79001</v>
      </c>
      <c r="F467" s="83">
        <v>99990</v>
      </c>
      <c r="G467" s="86"/>
      <c r="H467" s="79">
        <f t="shared" si="81"/>
        <v>303.8</v>
      </c>
      <c r="I467" s="79">
        <f t="shared" si="81"/>
        <v>0</v>
      </c>
      <c r="J467" s="79">
        <f t="shared" si="81"/>
        <v>-303.8</v>
      </c>
      <c r="K467" s="79">
        <f t="shared" si="79"/>
        <v>-100</v>
      </c>
    </row>
    <row r="468" spans="1:11" s="64" customFormat="1" ht="25.5" customHeight="1">
      <c r="A468" s="77" t="s">
        <v>73</v>
      </c>
      <c r="B468" s="86" t="s">
        <v>34</v>
      </c>
      <c r="C468" s="86" t="s">
        <v>7</v>
      </c>
      <c r="D468" s="86" t="s">
        <v>7</v>
      </c>
      <c r="E468" s="83">
        <v>79001</v>
      </c>
      <c r="F468" s="83">
        <v>99990</v>
      </c>
      <c r="G468" s="86" t="s">
        <v>74</v>
      </c>
      <c r="H468" s="79">
        <f t="shared" si="81"/>
        <v>303.8</v>
      </c>
      <c r="I468" s="79">
        <f t="shared" si="81"/>
        <v>0</v>
      </c>
      <c r="J468" s="79">
        <f t="shared" si="81"/>
        <v>-303.8</v>
      </c>
      <c r="K468" s="79">
        <f t="shared" si="79"/>
        <v>-100</v>
      </c>
    </row>
    <row r="469" spans="1:12" s="64" customFormat="1" ht="12.75">
      <c r="A469" s="77" t="s">
        <v>92</v>
      </c>
      <c r="B469" s="86" t="s">
        <v>34</v>
      </c>
      <c r="C469" s="86" t="s">
        <v>7</v>
      </c>
      <c r="D469" s="86" t="s">
        <v>7</v>
      </c>
      <c r="E469" s="83">
        <v>79001</v>
      </c>
      <c r="F469" s="83">
        <v>99990</v>
      </c>
      <c r="G469" s="86" t="s">
        <v>75</v>
      </c>
      <c r="H469" s="85">
        <v>303.8</v>
      </c>
      <c r="I469" s="85">
        <v>0</v>
      </c>
      <c r="J469" s="85">
        <f>I469-H469</f>
        <v>-303.8</v>
      </c>
      <c r="K469" s="79">
        <f t="shared" si="79"/>
        <v>-100</v>
      </c>
      <c r="L469" s="104" t="s">
        <v>408</v>
      </c>
    </row>
    <row r="470" spans="1:11" s="64" customFormat="1" ht="12.75">
      <c r="A470" s="94" t="s">
        <v>221</v>
      </c>
      <c r="B470" s="86" t="s">
        <v>34</v>
      </c>
      <c r="C470" s="86" t="s">
        <v>7</v>
      </c>
      <c r="D470" s="86" t="s">
        <v>7</v>
      </c>
      <c r="E470" s="83">
        <v>79002</v>
      </c>
      <c r="F470" s="84" t="s">
        <v>141</v>
      </c>
      <c r="G470" s="86"/>
      <c r="H470" s="79">
        <f aca="true" t="shared" si="82" ref="H470:J472">H471</f>
        <v>177.5</v>
      </c>
      <c r="I470" s="79">
        <f t="shared" si="82"/>
        <v>0</v>
      </c>
      <c r="J470" s="79">
        <f t="shared" si="82"/>
        <v>-177.5</v>
      </c>
      <c r="K470" s="79">
        <f t="shared" si="79"/>
        <v>-100</v>
      </c>
    </row>
    <row r="471" spans="1:11" s="64" customFormat="1" ht="12.75">
      <c r="A471" s="94" t="s">
        <v>121</v>
      </c>
      <c r="B471" s="86" t="s">
        <v>34</v>
      </c>
      <c r="C471" s="86" t="s">
        <v>7</v>
      </c>
      <c r="D471" s="86" t="s">
        <v>7</v>
      </c>
      <c r="E471" s="83">
        <v>79002</v>
      </c>
      <c r="F471" s="83">
        <v>99260</v>
      </c>
      <c r="G471" s="86"/>
      <c r="H471" s="79">
        <f t="shared" si="82"/>
        <v>177.5</v>
      </c>
      <c r="I471" s="79">
        <f t="shared" si="82"/>
        <v>0</v>
      </c>
      <c r="J471" s="79">
        <f t="shared" si="82"/>
        <v>-177.5</v>
      </c>
      <c r="K471" s="79">
        <f t="shared" si="79"/>
        <v>-100</v>
      </c>
    </row>
    <row r="472" spans="1:11" s="64" customFormat="1" ht="12.75">
      <c r="A472" s="77" t="s">
        <v>62</v>
      </c>
      <c r="B472" s="86" t="s">
        <v>34</v>
      </c>
      <c r="C472" s="86" t="s">
        <v>7</v>
      </c>
      <c r="D472" s="86" t="s">
        <v>7</v>
      </c>
      <c r="E472" s="83">
        <v>79002</v>
      </c>
      <c r="F472" s="83">
        <v>99260</v>
      </c>
      <c r="G472" s="86" t="s">
        <v>61</v>
      </c>
      <c r="H472" s="79">
        <f t="shared" si="82"/>
        <v>177.5</v>
      </c>
      <c r="I472" s="79">
        <f t="shared" si="82"/>
        <v>0</v>
      </c>
      <c r="J472" s="79">
        <f t="shared" si="82"/>
        <v>-177.5</v>
      </c>
      <c r="K472" s="79">
        <f t="shared" si="79"/>
        <v>-100</v>
      </c>
    </row>
    <row r="473" spans="1:12" s="64" customFormat="1" ht="25.5">
      <c r="A473" s="77" t="s">
        <v>63</v>
      </c>
      <c r="B473" s="86" t="s">
        <v>34</v>
      </c>
      <c r="C473" s="86" t="s">
        <v>7</v>
      </c>
      <c r="D473" s="86" t="s">
        <v>7</v>
      </c>
      <c r="E473" s="83">
        <v>79002</v>
      </c>
      <c r="F473" s="83">
        <v>99260</v>
      </c>
      <c r="G473" s="86" t="s">
        <v>17</v>
      </c>
      <c r="H473" s="85">
        <v>177.5</v>
      </c>
      <c r="I473" s="85">
        <v>0</v>
      </c>
      <c r="J473" s="85">
        <f>I473-H473</f>
        <v>-177.5</v>
      </c>
      <c r="K473" s="79">
        <f t="shared" si="79"/>
        <v>-100</v>
      </c>
      <c r="L473" s="104" t="s">
        <v>408</v>
      </c>
    </row>
    <row r="474" spans="1:11" s="64" customFormat="1" ht="12.75">
      <c r="A474" s="77" t="s">
        <v>23</v>
      </c>
      <c r="B474" s="86" t="s">
        <v>34</v>
      </c>
      <c r="C474" s="86" t="s">
        <v>7</v>
      </c>
      <c r="D474" s="86" t="s">
        <v>16</v>
      </c>
      <c r="E474" s="86"/>
      <c r="F474" s="86"/>
      <c r="G474" s="86"/>
      <c r="H474" s="79">
        <f>H475</f>
        <v>2061.6</v>
      </c>
      <c r="I474" s="79">
        <f>I475</f>
        <v>274.70000000000005</v>
      </c>
      <c r="J474" s="79">
        <f>J475</f>
        <v>-1786.8999999999999</v>
      </c>
      <c r="K474" s="79">
        <f t="shared" si="79"/>
        <v>-86.67539774932091</v>
      </c>
    </row>
    <row r="475" spans="1:11" s="64" customFormat="1" ht="12.75">
      <c r="A475" s="77" t="s">
        <v>367</v>
      </c>
      <c r="B475" s="86" t="s">
        <v>34</v>
      </c>
      <c r="C475" s="86" t="s">
        <v>7</v>
      </c>
      <c r="D475" s="86" t="s">
        <v>16</v>
      </c>
      <c r="E475" s="83">
        <v>77000</v>
      </c>
      <c r="F475" s="84" t="s">
        <v>141</v>
      </c>
      <c r="G475" s="86"/>
      <c r="H475" s="79">
        <f>H476+H483+H490+H498+H502+H506</f>
        <v>2061.6</v>
      </c>
      <c r="I475" s="79">
        <f>I476+I483+I490+I498+I502+I506</f>
        <v>274.70000000000005</v>
      </c>
      <c r="J475" s="79">
        <f>J476+J483+J490+J498+J502+J506</f>
        <v>-1786.8999999999999</v>
      </c>
      <c r="K475" s="79">
        <f t="shared" si="79"/>
        <v>-86.67539774932091</v>
      </c>
    </row>
    <row r="476" spans="1:11" s="64" customFormat="1" ht="25.5">
      <c r="A476" s="77" t="s">
        <v>368</v>
      </c>
      <c r="B476" s="86" t="s">
        <v>34</v>
      </c>
      <c r="C476" s="86" t="s">
        <v>7</v>
      </c>
      <c r="D476" s="86" t="s">
        <v>16</v>
      </c>
      <c r="E476" s="83">
        <v>77100</v>
      </c>
      <c r="F476" s="84" t="s">
        <v>141</v>
      </c>
      <c r="G476" s="86"/>
      <c r="H476" s="79">
        <f aca="true" t="shared" si="83" ref="H476:J477">H477</f>
        <v>45.599999999999994</v>
      </c>
      <c r="I476" s="79">
        <f t="shared" si="83"/>
        <v>5.7</v>
      </c>
      <c r="J476" s="79">
        <f t="shared" si="83"/>
        <v>-39.9</v>
      </c>
      <c r="K476" s="79">
        <f t="shared" si="79"/>
        <v>-87.5</v>
      </c>
    </row>
    <row r="477" spans="1:11" s="64" customFormat="1" ht="51">
      <c r="A477" s="77" t="s">
        <v>388</v>
      </c>
      <c r="B477" s="86" t="s">
        <v>34</v>
      </c>
      <c r="C477" s="86" t="s">
        <v>7</v>
      </c>
      <c r="D477" s="86" t="s">
        <v>16</v>
      </c>
      <c r="E477" s="83">
        <v>77107</v>
      </c>
      <c r="F477" s="84" t="s">
        <v>141</v>
      </c>
      <c r="G477" s="86"/>
      <c r="H477" s="79">
        <f t="shared" si="83"/>
        <v>45.599999999999994</v>
      </c>
      <c r="I477" s="79">
        <f t="shared" si="83"/>
        <v>5.7</v>
      </c>
      <c r="J477" s="79">
        <f t="shared" si="83"/>
        <v>-39.9</v>
      </c>
      <c r="K477" s="79">
        <f t="shared" si="79"/>
        <v>-87.5</v>
      </c>
    </row>
    <row r="478" spans="1:11" s="64" customFormat="1" ht="51">
      <c r="A478" s="77" t="s">
        <v>233</v>
      </c>
      <c r="B478" s="86" t="s">
        <v>34</v>
      </c>
      <c r="C478" s="86" t="s">
        <v>7</v>
      </c>
      <c r="D478" s="86" t="s">
        <v>16</v>
      </c>
      <c r="E478" s="83">
        <v>77107</v>
      </c>
      <c r="F478" s="83">
        <v>77800</v>
      </c>
      <c r="G478" s="86"/>
      <c r="H478" s="79">
        <f>H479+H481</f>
        <v>45.599999999999994</v>
      </c>
      <c r="I478" s="79">
        <f>I479+I481</f>
        <v>5.7</v>
      </c>
      <c r="J478" s="79">
        <f>J479+J481</f>
        <v>-39.9</v>
      </c>
      <c r="K478" s="79">
        <f t="shared" si="79"/>
        <v>-87.5</v>
      </c>
    </row>
    <row r="479" spans="1:11" s="64" customFormat="1" ht="38.25">
      <c r="A479" s="77" t="s">
        <v>58</v>
      </c>
      <c r="B479" s="86" t="s">
        <v>34</v>
      </c>
      <c r="C479" s="86" t="s">
        <v>7</v>
      </c>
      <c r="D479" s="86" t="s">
        <v>16</v>
      </c>
      <c r="E479" s="83">
        <v>77107</v>
      </c>
      <c r="F479" s="83">
        <v>77800</v>
      </c>
      <c r="G479" s="86" t="s">
        <v>57</v>
      </c>
      <c r="H479" s="79">
        <f>H480</f>
        <v>34.4</v>
      </c>
      <c r="I479" s="79">
        <f>I480</f>
        <v>5.7</v>
      </c>
      <c r="J479" s="79">
        <f>J480</f>
        <v>-28.7</v>
      </c>
      <c r="K479" s="79">
        <f t="shared" si="79"/>
        <v>-83.43023255813954</v>
      </c>
    </row>
    <row r="480" spans="1:12" s="64" customFormat="1" ht="12.75">
      <c r="A480" s="77" t="s">
        <v>77</v>
      </c>
      <c r="B480" s="86" t="s">
        <v>34</v>
      </c>
      <c r="C480" s="86" t="s">
        <v>7</v>
      </c>
      <c r="D480" s="86" t="s">
        <v>16</v>
      </c>
      <c r="E480" s="83">
        <v>77107</v>
      </c>
      <c r="F480" s="83">
        <v>77800</v>
      </c>
      <c r="G480" s="86" t="s">
        <v>76</v>
      </c>
      <c r="H480" s="85">
        <v>34.4</v>
      </c>
      <c r="I480" s="85">
        <v>5.7</v>
      </c>
      <c r="J480" s="85">
        <f>I480-H480</f>
        <v>-28.7</v>
      </c>
      <c r="K480" s="79">
        <f t="shared" si="79"/>
        <v>-83.43023255813954</v>
      </c>
      <c r="L480" s="104" t="s">
        <v>408</v>
      </c>
    </row>
    <row r="481" spans="1:11" s="64" customFormat="1" ht="12.75">
      <c r="A481" s="77" t="s">
        <v>62</v>
      </c>
      <c r="B481" s="86" t="s">
        <v>34</v>
      </c>
      <c r="C481" s="86" t="s">
        <v>7</v>
      </c>
      <c r="D481" s="86" t="s">
        <v>16</v>
      </c>
      <c r="E481" s="83">
        <v>77107</v>
      </c>
      <c r="F481" s="83">
        <v>77800</v>
      </c>
      <c r="G481" s="86" t="s">
        <v>61</v>
      </c>
      <c r="H481" s="79">
        <f>H482</f>
        <v>11.2</v>
      </c>
      <c r="I481" s="79">
        <f>I482</f>
        <v>0</v>
      </c>
      <c r="J481" s="79">
        <f>J482</f>
        <v>-11.2</v>
      </c>
      <c r="K481" s="79">
        <f t="shared" si="79"/>
        <v>-100</v>
      </c>
    </row>
    <row r="482" spans="1:12" s="64" customFormat="1" ht="25.5">
      <c r="A482" s="77" t="s">
        <v>63</v>
      </c>
      <c r="B482" s="86" t="s">
        <v>34</v>
      </c>
      <c r="C482" s="86" t="s">
        <v>7</v>
      </c>
      <c r="D482" s="86" t="s">
        <v>16</v>
      </c>
      <c r="E482" s="83">
        <v>77107</v>
      </c>
      <c r="F482" s="83">
        <v>77800</v>
      </c>
      <c r="G482" s="86" t="s">
        <v>17</v>
      </c>
      <c r="H482" s="85">
        <v>11.2</v>
      </c>
      <c r="I482" s="85">
        <v>0</v>
      </c>
      <c r="J482" s="85">
        <f>I482-H482</f>
        <v>-11.2</v>
      </c>
      <c r="K482" s="79">
        <f t="shared" si="79"/>
        <v>-100</v>
      </c>
      <c r="L482" s="104" t="s">
        <v>408</v>
      </c>
    </row>
    <row r="483" spans="1:11" s="64" customFormat="1" ht="25.5">
      <c r="A483" s="77" t="s">
        <v>374</v>
      </c>
      <c r="B483" s="86" t="s">
        <v>34</v>
      </c>
      <c r="C483" s="86" t="s">
        <v>7</v>
      </c>
      <c r="D483" s="86" t="s">
        <v>16</v>
      </c>
      <c r="E483" s="83">
        <v>77200</v>
      </c>
      <c r="F483" s="84" t="s">
        <v>141</v>
      </c>
      <c r="G483" s="86"/>
      <c r="H483" s="79">
        <f aca="true" t="shared" si="84" ref="H483:J484">H484</f>
        <v>46.4</v>
      </c>
      <c r="I483" s="79">
        <f t="shared" si="84"/>
        <v>7.2</v>
      </c>
      <c r="J483" s="79">
        <f t="shared" si="84"/>
        <v>-39.199999999999996</v>
      </c>
      <c r="K483" s="79">
        <f t="shared" si="79"/>
        <v>-84.48275862068965</v>
      </c>
    </row>
    <row r="484" spans="1:11" s="64" customFormat="1" ht="12.75">
      <c r="A484" s="77" t="s">
        <v>217</v>
      </c>
      <c r="B484" s="86" t="s">
        <v>34</v>
      </c>
      <c r="C484" s="86" t="s">
        <v>7</v>
      </c>
      <c r="D484" s="86" t="s">
        <v>16</v>
      </c>
      <c r="E484" s="83">
        <v>77202</v>
      </c>
      <c r="F484" s="84" t="s">
        <v>141</v>
      </c>
      <c r="G484" s="86"/>
      <c r="H484" s="79">
        <f t="shared" si="84"/>
        <v>46.4</v>
      </c>
      <c r="I484" s="79">
        <f t="shared" si="84"/>
        <v>7.2</v>
      </c>
      <c r="J484" s="79">
        <f t="shared" si="84"/>
        <v>-39.199999999999996</v>
      </c>
      <c r="K484" s="79">
        <f t="shared" si="79"/>
        <v>-84.48275862068965</v>
      </c>
    </row>
    <row r="485" spans="1:11" s="64" customFormat="1" ht="89.25">
      <c r="A485" s="90" t="s">
        <v>109</v>
      </c>
      <c r="B485" s="86" t="s">
        <v>34</v>
      </c>
      <c r="C485" s="86" t="s">
        <v>7</v>
      </c>
      <c r="D485" s="86" t="s">
        <v>16</v>
      </c>
      <c r="E485" s="83">
        <v>77202</v>
      </c>
      <c r="F485" s="83">
        <v>77300</v>
      </c>
      <c r="G485" s="86"/>
      <c r="H485" s="79">
        <f>H486+H488</f>
        <v>46.4</v>
      </c>
      <c r="I485" s="79">
        <f>I486+I488</f>
        <v>7.2</v>
      </c>
      <c r="J485" s="79">
        <f>J486+J488</f>
        <v>-39.199999999999996</v>
      </c>
      <c r="K485" s="79">
        <f t="shared" si="79"/>
        <v>-84.48275862068965</v>
      </c>
    </row>
    <row r="486" spans="1:11" s="64" customFormat="1" ht="38.25">
      <c r="A486" s="77" t="s">
        <v>58</v>
      </c>
      <c r="B486" s="86" t="s">
        <v>34</v>
      </c>
      <c r="C486" s="86" t="s">
        <v>7</v>
      </c>
      <c r="D486" s="86" t="s">
        <v>16</v>
      </c>
      <c r="E486" s="83">
        <v>77202</v>
      </c>
      <c r="F486" s="83">
        <v>77300</v>
      </c>
      <c r="G486" s="86" t="s">
        <v>57</v>
      </c>
      <c r="H486" s="79">
        <f>H487</f>
        <v>43</v>
      </c>
      <c r="I486" s="79">
        <f>I487</f>
        <v>7.2</v>
      </c>
      <c r="J486" s="79">
        <f>J487</f>
        <v>-35.8</v>
      </c>
      <c r="K486" s="79">
        <f t="shared" si="79"/>
        <v>-83.25581395348837</v>
      </c>
    </row>
    <row r="487" spans="1:12" s="64" customFormat="1" ht="12.75">
      <c r="A487" s="77" t="s">
        <v>77</v>
      </c>
      <c r="B487" s="86" t="s">
        <v>34</v>
      </c>
      <c r="C487" s="86" t="s">
        <v>7</v>
      </c>
      <c r="D487" s="86" t="s">
        <v>16</v>
      </c>
      <c r="E487" s="83">
        <v>77202</v>
      </c>
      <c r="F487" s="83">
        <v>77300</v>
      </c>
      <c r="G487" s="86" t="s">
        <v>76</v>
      </c>
      <c r="H487" s="85">
        <v>43</v>
      </c>
      <c r="I487" s="85">
        <v>7.2</v>
      </c>
      <c r="J487" s="85">
        <f>I487-H487</f>
        <v>-35.8</v>
      </c>
      <c r="K487" s="79">
        <f t="shared" si="79"/>
        <v>-83.25581395348837</v>
      </c>
      <c r="L487" s="104" t="s">
        <v>408</v>
      </c>
    </row>
    <row r="488" spans="1:11" s="64" customFormat="1" ht="12.75">
      <c r="A488" s="77" t="s">
        <v>62</v>
      </c>
      <c r="B488" s="86" t="s">
        <v>34</v>
      </c>
      <c r="C488" s="86" t="s">
        <v>7</v>
      </c>
      <c r="D488" s="86" t="s">
        <v>16</v>
      </c>
      <c r="E488" s="83">
        <v>77202</v>
      </c>
      <c r="F488" s="83">
        <v>77300</v>
      </c>
      <c r="G488" s="86" t="s">
        <v>61</v>
      </c>
      <c r="H488" s="79">
        <f>H489</f>
        <v>3.4</v>
      </c>
      <c r="I488" s="79">
        <f>I489</f>
        <v>0</v>
      </c>
      <c r="J488" s="79">
        <f>J489</f>
        <v>-3.4</v>
      </c>
      <c r="K488" s="79">
        <f t="shared" si="79"/>
        <v>-100</v>
      </c>
    </row>
    <row r="489" spans="1:12" s="64" customFormat="1" ht="25.5">
      <c r="A489" s="77" t="s">
        <v>63</v>
      </c>
      <c r="B489" s="86" t="s">
        <v>34</v>
      </c>
      <c r="C489" s="86" t="s">
        <v>7</v>
      </c>
      <c r="D489" s="86" t="s">
        <v>16</v>
      </c>
      <c r="E489" s="83">
        <v>77202</v>
      </c>
      <c r="F489" s="83">
        <v>77300</v>
      </c>
      <c r="G489" s="86" t="s">
        <v>17</v>
      </c>
      <c r="H489" s="85">
        <v>3.4</v>
      </c>
      <c r="I489" s="85">
        <v>0</v>
      </c>
      <c r="J489" s="85">
        <f>I489-H489</f>
        <v>-3.4</v>
      </c>
      <c r="K489" s="79">
        <f t="shared" si="79"/>
        <v>-100</v>
      </c>
      <c r="L489" s="104" t="s">
        <v>408</v>
      </c>
    </row>
    <row r="490" spans="1:11" s="64" customFormat="1" ht="25.5">
      <c r="A490" s="80" t="s">
        <v>223</v>
      </c>
      <c r="B490" s="86" t="s">
        <v>34</v>
      </c>
      <c r="C490" s="86" t="s">
        <v>7</v>
      </c>
      <c r="D490" s="86" t="s">
        <v>16</v>
      </c>
      <c r="E490" s="83">
        <v>77001</v>
      </c>
      <c r="F490" s="84" t="s">
        <v>141</v>
      </c>
      <c r="G490" s="86"/>
      <c r="H490" s="79">
        <f>H491</f>
        <v>1726.6</v>
      </c>
      <c r="I490" s="79">
        <f>I491</f>
        <v>231.3</v>
      </c>
      <c r="J490" s="79">
        <f>J491</f>
        <v>-1495.3</v>
      </c>
      <c r="K490" s="79">
        <f t="shared" si="79"/>
        <v>-86.60372987374029</v>
      </c>
    </row>
    <row r="491" spans="1:11" s="64" customFormat="1" ht="25.5">
      <c r="A491" s="80" t="s">
        <v>224</v>
      </c>
      <c r="B491" s="86" t="s">
        <v>34</v>
      </c>
      <c r="C491" s="86" t="s">
        <v>7</v>
      </c>
      <c r="D491" s="86" t="s">
        <v>16</v>
      </c>
      <c r="E491" s="83">
        <v>77001</v>
      </c>
      <c r="F491" s="84" t="s">
        <v>170</v>
      </c>
      <c r="G491" s="86"/>
      <c r="H491" s="79">
        <f>H492+H496+H494</f>
        <v>1726.6</v>
      </c>
      <c r="I491" s="79">
        <f>I492+I496+I494</f>
        <v>231.3</v>
      </c>
      <c r="J491" s="79">
        <f>J492+J496+J494</f>
        <v>-1495.3</v>
      </c>
      <c r="K491" s="79">
        <f t="shared" si="79"/>
        <v>-86.60372987374029</v>
      </c>
    </row>
    <row r="492" spans="1:11" s="64" customFormat="1" ht="38.25">
      <c r="A492" s="77" t="s">
        <v>58</v>
      </c>
      <c r="B492" s="86" t="s">
        <v>34</v>
      </c>
      <c r="C492" s="86" t="s">
        <v>7</v>
      </c>
      <c r="D492" s="86" t="s">
        <v>16</v>
      </c>
      <c r="E492" s="83">
        <v>77001</v>
      </c>
      <c r="F492" s="84" t="s">
        <v>170</v>
      </c>
      <c r="G492" s="86" t="s">
        <v>57</v>
      </c>
      <c r="H492" s="79">
        <f>H493</f>
        <v>1615</v>
      </c>
      <c r="I492" s="79">
        <f>I493</f>
        <v>213.7</v>
      </c>
      <c r="J492" s="79">
        <f>J493</f>
        <v>-1401.3</v>
      </c>
      <c r="K492" s="79">
        <f t="shared" si="79"/>
        <v>-86.76780185758514</v>
      </c>
    </row>
    <row r="493" spans="1:12" s="64" customFormat="1" ht="12.75">
      <c r="A493" s="77" t="s">
        <v>77</v>
      </c>
      <c r="B493" s="86" t="s">
        <v>34</v>
      </c>
      <c r="C493" s="86" t="s">
        <v>7</v>
      </c>
      <c r="D493" s="86" t="s">
        <v>16</v>
      </c>
      <c r="E493" s="83">
        <v>77001</v>
      </c>
      <c r="F493" s="84" t="s">
        <v>170</v>
      </c>
      <c r="G493" s="86" t="s">
        <v>76</v>
      </c>
      <c r="H493" s="85">
        <v>1615</v>
      </c>
      <c r="I493" s="85">
        <v>213.7</v>
      </c>
      <c r="J493" s="85">
        <f>I493-H493</f>
        <v>-1401.3</v>
      </c>
      <c r="K493" s="79">
        <f t="shared" si="79"/>
        <v>-86.76780185758514</v>
      </c>
      <c r="L493" s="104" t="s">
        <v>408</v>
      </c>
    </row>
    <row r="494" spans="1:11" s="64" customFormat="1" ht="12.75">
      <c r="A494" s="77" t="s">
        <v>62</v>
      </c>
      <c r="B494" s="86" t="s">
        <v>34</v>
      </c>
      <c r="C494" s="86" t="s">
        <v>7</v>
      </c>
      <c r="D494" s="86" t="s">
        <v>16</v>
      </c>
      <c r="E494" s="83">
        <v>77001</v>
      </c>
      <c r="F494" s="84" t="s">
        <v>170</v>
      </c>
      <c r="G494" s="86" t="s">
        <v>61</v>
      </c>
      <c r="H494" s="79">
        <f>H495</f>
        <v>108</v>
      </c>
      <c r="I494" s="79">
        <f>I495</f>
        <v>16.8</v>
      </c>
      <c r="J494" s="79">
        <f>J495</f>
        <v>-91.2</v>
      </c>
      <c r="K494" s="79">
        <f t="shared" si="79"/>
        <v>-84.44444444444444</v>
      </c>
    </row>
    <row r="495" spans="1:12" s="64" customFormat="1" ht="25.5">
      <c r="A495" s="77" t="s">
        <v>63</v>
      </c>
      <c r="B495" s="86" t="s">
        <v>34</v>
      </c>
      <c r="C495" s="86" t="s">
        <v>7</v>
      </c>
      <c r="D495" s="86" t="s">
        <v>16</v>
      </c>
      <c r="E495" s="83">
        <v>77001</v>
      </c>
      <c r="F495" s="84" t="s">
        <v>170</v>
      </c>
      <c r="G495" s="86" t="s">
        <v>17</v>
      </c>
      <c r="H495" s="85">
        <v>108</v>
      </c>
      <c r="I495" s="85">
        <v>16.8</v>
      </c>
      <c r="J495" s="85">
        <f>I495-H495</f>
        <v>-91.2</v>
      </c>
      <c r="K495" s="79">
        <f t="shared" si="79"/>
        <v>-84.44444444444444</v>
      </c>
      <c r="L495" s="104" t="s">
        <v>408</v>
      </c>
    </row>
    <row r="496" spans="1:11" s="64" customFormat="1" ht="12.75">
      <c r="A496" s="77" t="s">
        <v>66</v>
      </c>
      <c r="B496" s="86" t="s">
        <v>34</v>
      </c>
      <c r="C496" s="86" t="s">
        <v>7</v>
      </c>
      <c r="D496" s="86" t="s">
        <v>16</v>
      </c>
      <c r="E496" s="83">
        <v>77001</v>
      </c>
      <c r="F496" s="84" t="s">
        <v>170</v>
      </c>
      <c r="G496" s="86" t="s">
        <v>64</v>
      </c>
      <c r="H496" s="79">
        <f>H497</f>
        <v>3.6</v>
      </c>
      <c r="I496" s="79">
        <f>I497</f>
        <v>0.8</v>
      </c>
      <c r="J496" s="79">
        <f>J497</f>
        <v>-2.8</v>
      </c>
      <c r="K496" s="79">
        <f t="shared" si="79"/>
        <v>-77.77777777777777</v>
      </c>
    </row>
    <row r="497" spans="1:12" s="64" customFormat="1" ht="12.75">
      <c r="A497" s="77" t="s">
        <v>67</v>
      </c>
      <c r="B497" s="86" t="s">
        <v>34</v>
      </c>
      <c r="C497" s="86" t="s">
        <v>7</v>
      </c>
      <c r="D497" s="86" t="s">
        <v>16</v>
      </c>
      <c r="E497" s="83">
        <v>77001</v>
      </c>
      <c r="F497" s="84" t="s">
        <v>170</v>
      </c>
      <c r="G497" s="86" t="s">
        <v>65</v>
      </c>
      <c r="H497" s="85">
        <v>3.6</v>
      </c>
      <c r="I497" s="85">
        <v>0.8</v>
      </c>
      <c r="J497" s="85">
        <f>I497-H497</f>
        <v>-2.8</v>
      </c>
      <c r="K497" s="79">
        <f t="shared" si="79"/>
        <v>-77.77777777777777</v>
      </c>
      <c r="L497" s="104" t="s">
        <v>408</v>
      </c>
    </row>
    <row r="498" spans="1:11" s="64" customFormat="1" ht="25.5">
      <c r="A498" s="94" t="s">
        <v>225</v>
      </c>
      <c r="B498" s="86" t="s">
        <v>34</v>
      </c>
      <c r="C498" s="86" t="s">
        <v>7</v>
      </c>
      <c r="D498" s="86" t="s">
        <v>16</v>
      </c>
      <c r="E498" s="83">
        <v>77002</v>
      </c>
      <c r="F498" s="84" t="s">
        <v>141</v>
      </c>
      <c r="G498" s="86"/>
      <c r="H498" s="79">
        <f aca="true" t="shared" si="85" ref="H498:J500">H499</f>
        <v>108.8</v>
      </c>
      <c r="I498" s="79">
        <f t="shared" si="85"/>
        <v>30.5</v>
      </c>
      <c r="J498" s="79">
        <f t="shared" si="85"/>
        <v>-78.3</v>
      </c>
      <c r="K498" s="79">
        <f t="shared" si="79"/>
        <v>-71.96691176470588</v>
      </c>
    </row>
    <row r="499" spans="1:11" s="64" customFormat="1" ht="25.5">
      <c r="A499" s="94" t="s">
        <v>226</v>
      </c>
      <c r="B499" s="86" t="s">
        <v>34</v>
      </c>
      <c r="C499" s="86" t="s">
        <v>7</v>
      </c>
      <c r="D499" s="86" t="s">
        <v>16</v>
      </c>
      <c r="E499" s="83">
        <v>77002</v>
      </c>
      <c r="F499" s="83">
        <v>99180</v>
      </c>
      <c r="G499" s="86"/>
      <c r="H499" s="79">
        <f t="shared" si="85"/>
        <v>108.8</v>
      </c>
      <c r="I499" s="79">
        <f t="shared" si="85"/>
        <v>30.5</v>
      </c>
      <c r="J499" s="79">
        <f t="shared" si="85"/>
        <v>-78.3</v>
      </c>
      <c r="K499" s="79">
        <f t="shared" si="79"/>
        <v>-71.96691176470588</v>
      </c>
    </row>
    <row r="500" spans="1:11" s="64" customFormat="1" ht="12.75">
      <c r="A500" s="77" t="s">
        <v>62</v>
      </c>
      <c r="B500" s="86" t="s">
        <v>34</v>
      </c>
      <c r="C500" s="86" t="s">
        <v>7</v>
      </c>
      <c r="D500" s="86" t="s">
        <v>16</v>
      </c>
      <c r="E500" s="83">
        <v>77002</v>
      </c>
      <c r="F500" s="83">
        <v>99180</v>
      </c>
      <c r="G500" s="86" t="s">
        <v>61</v>
      </c>
      <c r="H500" s="79">
        <f t="shared" si="85"/>
        <v>108.8</v>
      </c>
      <c r="I500" s="79">
        <f t="shared" si="85"/>
        <v>30.5</v>
      </c>
      <c r="J500" s="79">
        <f t="shared" si="85"/>
        <v>-78.3</v>
      </c>
      <c r="K500" s="79">
        <f t="shared" si="79"/>
        <v>-71.96691176470588</v>
      </c>
    </row>
    <row r="501" spans="1:12" s="64" customFormat="1" ht="25.5">
      <c r="A501" s="77" t="s">
        <v>63</v>
      </c>
      <c r="B501" s="86" t="s">
        <v>34</v>
      </c>
      <c r="C501" s="86" t="s">
        <v>7</v>
      </c>
      <c r="D501" s="86" t="s">
        <v>16</v>
      </c>
      <c r="E501" s="83">
        <v>77002</v>
      </c>
      <c r="F501" s="83">
        <v>99180</v>
      </c>
      <c r="G501" s="86" t="s">
        <v>17</v>
      </c>
      <c r="H501" s="85">
        <v>108.8</v>
      </c>
      <c r="I501" s="85">
        <v>30.5</v>
      </c>
      <c r="J501" s="85">
        <f>I501-H501</f>
        <v>-78.3</v>
      </c>
      <c r="K501" s="79">
        <f t="shared" si="79"/>
        <v>-71.96691176470588</v>
      </c>
      <c r="L501" s="104" t="s">
        <v>408</v>
      </c>
    </row>
    <row r="502" spans="1:11" s="64" customFormat="1" ht="12.75">
      <c r="A502" s="94" t="s">
        <v>227</v>
      </c>
      <c r="B502" s="86" t="s">
        <v>34</v>
      </c>
      <c r="C502" s="86" t="s">
        <v>7</v>
      </c>
      <c r="D502" s="86" t="s">
        <v>16</v>
      </c>
      <c r="E502" s="83">
        <v>77003</v>
      </c>
      <c r="F502" s="84" t="s">
        <v>141</v>
      </c>
      <c r="G502" s="86"/>
      <c r="H502" s="79">
        <f aca="true" t="shared" si="86" ref="H502:J504">H503</f>
        <v>74</v>
      </c>
      <c r="I502" s="79">
        <f t="shared" si="86"/>
        <v>0</v>
      </c>
      <c r="J502" s="79">
        <f t="shared" si="86"/>
        <v>-74</v>
      </c>
      <c r="K502" s="79">
        <f t="shared" si="79"/>
        <v>-100</v>
      </c>
    </row>
    <row r="503" spans="1:11" s="64" customFormat="1" ht="12.75">
      <c r="A503" s="94" t="s">
        <v>122</v>
      </c>
      <c r="B503" s="86" t="s">
        <v>34</v>
      </c>
      <c r="C503" s="86" t="s">
        <v>7</v>
      </c>
      <c r="D503" s="86" t="s">
        <v>16</v>
      </c>
      <c r="E503" s="83">
        <v>77003</v>
      </c>
      <c r="F503" s="83">
        <v>99190</v>
      </c>
      <c r="G503" s="86"/>
      <c r="H503" s="79">
        <f t="shared" si="86"/>
        <v>74</v>
      </c>
      <c r="I503" s="79">
        <f t="shared" si="86"/>
        <v>0</v>
      </c>
      <c r="J503" s="79">
        <f t="shared" si="86"/>
        <v>-74</v>
      </c>
      <c r="K503" s="79">
        <f t="shared" si="79"/>
        <v>-100</v>
      </c>
    </row>
    <row r="504" spans="1:11" s="64" customFormat="1" ht="12.75">
      <c r="A504" s="77" t="s">
        <v>62</v>
      </c>
      <c r="B504" s="86" t="s">
        <v>34</v>
      </c>
      <c r="C504" s="86" t="s">
        <v>7</v>
      </c>
      <c r="D504" s="86" t="s">
        <v>16</v>
      </c>
      <c r="E504" s="83">
        <v>77003</v>
      </c>
      <c r="F504" s="83">
        <v>99190</v>
      </c>
      <c r="G504" s="86" t="s">
        <v>61</v>
      </c>
      <c r="H504" s="79">
        <f t="shared" si="86"/>
        <v>74</v>
      </c>
      <c r="I504" s="79">
        <f t="shared" si="86"/>
        <v>0</v>
      </c>
      <c r="J504" s="79">
        <f t="shared" si="86"/>
        <v>-74</v>
      </c>
      <c r="K504" s="79">
        <f t="shared" si="79"/>
        <v>-100</v>
      </c>
    </row>
    <row r="505" spans="1:12" s="64" customFormat="1" ht="25.5">
      <c r="A505" s="77" t="s">
        <v>63</v>
      </c>
      <c r="B505" s="86" t="s">
        <v>34</v>
      </c>
      <c r="C505" s="86" t="s">
        <v>7</v>
      </c>
      <c r="D505" s="86" t="s">
        <v>16</v>
      </c>
      <c r="E505" s="83">
        <v>77003</v>
      </c>
      <c r="F505" s="83">
        <v>99190</v>
      </c>
      <c r="G505" s="86" t="s">
        <v>17</v>
      </c>
      <c r="H505" s="85">
        <v>74</v>
      </c>
      <c r="I505" s="85">
        <v>0</v>
      </c>
      <c r="J505" s="85">
        <f>I505-H505</f>
        <v>-74</v>
      </c>
      <c r="K505" s="79">
        <f t="shared" si="79"/>
        <v>-100</v>
      </c>
      <c r="L505" s="104" t="s">
        <v>408</v>
      </c>
    </row>
    <row r="506" spans="1:11" s="64" customFormat="1" ht="25.5">
      <c r="A506" s="77" t="s">
        <v>317</v>
      </c>
      <c r="B506" s="86" t="s">
        <v>34</v>
      </c>
      <c r="C506" s="86" t="s">
        <v>7</v>
      </c>
      <c r="D506" s="86" t="s">
        <v>16</v>
      </c>
      <c r="E506" s="81">
        <v>77005</v>
      </c>
      <c r="F506" s="84" t="s">
        <v>141</v>
      </c>
      <c r="G506" s="86"/>
      <c r="H506" s="79">
        <f aca="true" t="shared" si="87" ref="H506:J508">H507</f>
        <v>60.2</v>
      </c>
      <c r="I506" s="79">
        <f t="shared" si="87"/>
        <v>0</v>
      </c>
      <c r="J506" s="79">
        <f t="shared" si="87"/>
        <v>-60.2</v>
      </c>
      <c r="K506" s="79">
        <f t="shared" si="79"/>
        <v>-100</v>
      </c>
    </row>
    <row r="507" spans="1:11" s="64" customFormat="1" ht="25.5">
      <c r="A507" s="77" t="s">
        <v>318</v>
      </c>
      <c r="B507" s="86" t="s">
        <v>34</v>
      </c>
      <c r="C507" s="86" t="s">
        <v>7</v>
      </c>
      <c r="D507" s="86" t="s">
        <v>16</v>
      </c>
      <c r="E507" s="81">
        <v>77005</v>
      </c>
      <c r="F507" s="93">
        <v>72300</v>
      </c>
      <c r="G507" s="86"/>
      <c r="H507" s="79">
        <f t="shared" si="87"/>
        <v>60.2</v>
      </c>
      <c r="I507" s="79">
        <f t="shared" si="87"/>
        <v>0</v>
      </c>
      <c r="J507" s="79">
        <f t="shared" si="87"/>
        <v>-60.2</v>
      </c>
      <c r="K507" s="79">
        <f t="shared" si="79"/>
        <v>-100</v>
      </c>
    </row>
    <row r="508" spans="1:11" s="64" customFormat="1" ht="38.25">
      <c r="A508" s="77" t="s">
        <v>58</v>
      </c>
      <c r="B508" s="86" t="s">
        <v>34</v>
      </c>
      <c r="C508" s="86" t="s">
        <v>7</v>
      </c>
      <c r="D508" s="86" t="s">
        <v>16</v>
      </c>
      <c r="E508" s="81">
        <v>77005</v>
      </c>
      <c r="F508" s="93">
        <v>72300</v>
      </c>
      <c r="G508" s="86" t="s">
        <v>57</v>
      </c>
      <c r="H508" s="79">
        <f t="shared" si="87"/>
        <v>60.2</v>
      </c>
      <c r="I508" s="79">
        <f t="shared" si="87"/>
        <v>0</v>
      </c>
      <c r="J508" s="79">
        <f t="shared" si="87"/>
        <v>-60.2</v>
      </c>
      <c r="K508" s="79">
        <f t="shared" si="79"/>
        <v>-100</v>
      </c>
    </row>
    <row r="509" spans="1:12" s="64" customFormat="1" ht="12.75">
      <c r="A509" s="77" t="s">
        <v>77</v>
      </c>
      <c r="B509" s="86" t="s">
        <v>34</v>
      </c>
      <c r="C509" s="86" t="s">
        <v>7</v>
      </c>
      <c r="D509" s="86" t="s">
        <v>16</v>
      </c>
      <c r="E509" s="81">
        <v>77005</v>
      </c>
      <c r="F509" s="93">
        <v>72300</v>
      </c>
      <c r="G509" s="86" t="s">
        <v>76</v>
      </c>
      <c r="H509" s="85">
        <v>60.2</v>
      </c>
      <c r="I509" s="85">
        <v>0</v>
      </c>
      <c r="J509" s="85">
        <f>I509-H509</f>
        <v>-60.2</v>
      </c>
      <c r="K509" s="79">
        <f t="shared" si="79"/>
        <v>-100</v>
      </c>
      <c r="L509" s="104" t="s">
        <v>408</v>
      </c>
    </row>
    <row r="510" spans="1:11" s="64" customFormat="1" ht="12.75">
      <c r="A510" s="77" t="s">
        <v>50</v>
      </c>
      <c r="B510" s="86" t="s">
        <v>34</v>
      </c>
      <c r="C510" s="86" t="s">
        <v>3</v>
      </c>
      <c r="D510" s="86"/>
      <c r="E510" s="86"/>
      <c r="F510" s="86"/>
      <c r="G510" s="86"/>
      <c r="H510" s="79">
        <f>H511</f>
        <v>19417.1</v>
      </c>
      <c r="I510" s="79">
        <f>I511</f>
        <v>2609</v>
      </c>
      <c r="J510" s="79">
        <f>J511</f>
        <v>-16808.1</v>
      </c>
      <c r="K510" s="79">
        <f t="shared" si="79"/>
        <v>-86.56339000159653</v>
      </c>
    </row>
    <row r="511" spans="1:11" s="64" customFormat="1" ht="12.75">
      <c r="A511" s="77" t="s">
        <v>27</v>
      </c>
      <c r="B511" s="86" t="s">
        <v>34</v>
      </c>
      <c r="C511" s="86" t="s">
        <v>3</v>
      </c>
      <c r="D511" s="86" t="s">
        <v>1</v>
      </c>
      <c r="E511" s="86"/>
      <c r="F511" s="86"/>
      <c r="G511" s="86"/>
      <c r="H511" s="79">
        <f>H517+H512</f>
        <v>19417.1</v>
      </c>
      <c r="I511" s="79">
        <f>I517+I512</f>
        <v>2609</v>
      </c>
      <c r="J511" s="79">
        <f>J517+J512</f>
        <v>-16808.1</v>
      </c>
      <c r="K511" s="79">
        <f t="shared" si="79"/>
        <v>-86.56339000159653</v>
      </c>
    </row>
    <row r="512" spans="1:11" s="64" customFormat="1" ht="12.75">
      <c r="A512" s="77" t="s">
        <v>307</v>
      </c>
      <c r="B512" s="86" t="s">
        <v>34</v>
      </c>
      <c r="C512" s="86" t="s">
        <v>3</v>
      </c>
      <c r="D512" s="86" t="s">
        <v>1</v>
      </c>
      <c r="E512" s="83">
        <v>72000</v>
      </c>
      <c r="F512" s="84" t="s">
        <v>141</v>
      </c>
      <c r="G512" s="86"/>
      <c r="H512" s="79">
        <f aca="true" t="shared" si="88" ref="H512:J515">H513</f>
        <v>17</v>
      </c>
      <c r="I512" s="79">
        <f t="shared" si="88"/>
        <v>0</v>
      </c>
      <c r="J512" s="79">
        <f t="shared" si="88"/>
        <v>-17</v>
      </c>
      <c r="K512" s="79">
        <f t="shared" si="79"/>
        <v>-100</v>
      </c>
    </row>
    <row r="513" spans="1:11" s="64" customFormat="1" ht="25.5">
      <c r="A513" s="77" t="s">
        <v>240</v>
      </c>
      <c r="B513" s="86" t="s">
        <v>34</v>
      </c>
      <c r="C513" s="86" t="s">
        <v>3</v>
      </c>
      <c r="D513" s="86" t="s">
        <v>1</v>
      </c>
      <c r="E513" s="83">
        <v>72001</v>
      </c>
      <c r="F513" s="84" t="s">
        <v>141</v>
      </c>
      <c r="G513" s="86"/>
      <c r="H513" s="79">
        <f t="shared" si="88"/>
        <v>17</v>
      </c>
      <c r="I513" s="79">
        <f t="shared" si="88"/>
        <v>0</v>
      </c>
      <c r="J513" s="79">
        <f t="shared" si="88"/>
        <v>-17</v>
      </c>
      <c r="K513" s="79">
        <f t="shared" si="79"/>
        <v>-100</v>
      </c>
    </row>
    <row r="514" spans="1:11" s="64" customFormat="1" ht="25.5">
      <c r="A514" s="77" t="s">
        <v>241</v>
      </c>
      <c r="B514" s="86" t="s">
        <v>34</v>
      </c>
      <c r="C514" s="86" t="s">
        <v>3</v>
      </c>
      <c r="D514" s="86" t="s">
        <v>1</v>
      </c>
      <c r="E514" s="83">
        <v>72001</v>
      </c>
      <c r="F514" s="83">
        <v>99990</v>
      </c>
      <c r="G514" s="86"/>
      <c r="H514" s="79">
        <f t="shared" si="88"/>
        <v>17</v>
      </c>
      <c r="I514" s="79">
        <f t="shared" si="88"/>
        <v>0</v>
      </c>
      <c r="J514" s="79">
        <f t="shared" si="88"/>
        <v>-17</v>
      </c>
      <c r="K514" s="79">
        <f t="shared" si="79"/>
        <v>-100</v>
      </c>
    </row>
    <row r="515" spans="1:11" s="64" customFormat="1" ht="12.75">
      <c r="A515" s="77" t="s">
        <v>62</v>
      </c>
      <c r="B515" s="86" t="s">
        <v>34</v>
      </c>
      <c r="C515" s="86" t="s">
        <v>3</v>
      </c>
      <c r="D515" s="86" t="s">
        <v>1</v>
      </c>
      <c r="E515" s="83">
        <v>72001</v>
      </c>
      <c r="F515" s="83">
        <v>99990</v>
      </c>
      <c r="G515" s="86" t="s">
        <v>61</v>
      </c>
      <c r="H515" s="79">
        <f t="shared" si="88"/>
        <v>17</v>
      </c>
      <c r="I515" s="79">
        <f t="shared" si="88"/>
        <v>0</v>
      </c>
      <c r="J515" s="79">
        <f t="shared" si="88"/>
        <v>-17</v>
      </c>
      <c r="K515" s="79">
        <f t="shared" si="79"/>
        <v>-100</v>
      </c>
    </row>
    <row r="516" spans="1:12" s="64" customFormat="1" ht="25.5">
      <c r="A516" s="77" t="s">
        <v>63</v>
      </c>
      <c r="B516" s="86" t="s">
        <v>34</v>
      </c>
      <c r="C516" s="86" t="s">
        <v>3</v>
      </c>
      <c r="D516" s="86" t="s">
        <v>1</v>
      </c>
      <c r="E516" s="83">
        <v>72001</v>
      </c>
      <c r="F516" s="83">
        <v>99990</v>
      </c>
      <c r="G516" s="86" t="s">
        <v>17</v>
      </c>
      <c r="H516" s="79">
        <v>17</v>
      </c>
      <c r="I516" s="79">
        <v>0</v>
      </c>
      <c r="J516" s="85">
        <f>I516-H516</f>
        <v>-17</v>
      </c>
      <c r="K516" s="79">
        <f t="shared" si="79"/>
        <v>-100</v>
      </c>
      <c r="L516" s="104" t="s">
        <v>408</v>
      </c>
    </row>
    <row r="517" spans="1:11" s="64" customFormat="1" ht="25.5">
      <c r="A517" s="77" t="s">
        <v>363</v>
      </c>
      <c r="B517" s="86" t="s">
        <v>34</v>
      </c>
      <c r="C517" s="86" t="s">
        <v>3</v>
      </c>
      <c r="D517" s="86" t="s">
        <v>1</v>
      </c>
      <c r="E517" s="83">
        <v>78000</v>
      </c>
      <c r="F517" s="84" t="s">
        <v>141</v>
      </c>
      <c r="G517" s="86"/>
      <c r="H517" s="79">
        <f>H518+H522+H526+H533+H537</f>
        <v>19400.1</v>
      </c>
      <c r="I517" s="79">
        <f>I518+I522+I526+I533+I537</f>
        <v>2609</v>
      </c>
      <c r="J517" s="79">
        <f>J518+J522+J526+J533+J537</f>
        <v>-16791.1</v>
      </c>
      <c r="K517" s="79">
        <f t="shared" si="79"/>
        <v>-86.55161571332107</v>
      </c>
    </row>
    <row r="518" spans="1:11" s="64" customFormat="1" ht="25.5">
      <c r="A518" s="77" t="s">
        <v>389</v>
      </c>
      <c r="B518" s="86" t="s">
        <v>34</v>
      </c>
      <c r="C518" s="86" t="s">
        <v>3</v>
      </c>
      <c r="D518" s="86" t="s">
        <v>1</v>
      </c>
      <c r="E518" s="83">
        <v>78001</v>
      </c>
      <c r="F518" s="84" t="s">
        <v>141</v>
      </c>
      <c r="G518" s="86"/>
      <c r="H518" s="79">
        <f aca="true" t="shared" si="89" ref="H518:J520">H519</f>
        <v>1349.1</v>
      </c>
      <c r="I518" s="79">
        <f t="shared" si="89"/>
        <v>332.3</v>
      </c>
      <c r="J518" s="79">
        <f t="shared" si="89"/>
        <v>-1016.8</v>
      </c>
      <c r="K518" s="79">
        <f t="shared" si="79"/>
        <v>-75.36876436142613</v>
      </c>
    </row>
    <row r="519" spans="1:11" s="64" customFormat="1" ht="25.5">
      <c r="A519" s="77" t="s">
        <v>123</v>
      </c>
      <c r="B519" s="86" t="s">
        <v>34</v>
      </c>
      <c r="C519" s="86" t="s">
        <v>3</v>
      </c>
      <c r="D519" s="86" t="s">
        <v>1</v>
      </c>
      <c r="E519" s="83">
        <v>78001</v>
      </c>
      <c r="F519" s="83">
        <v>99200</v>
      </c>
      <c r="G519" s="86"/>
      <c r="H519" s="79">
        <f t="shared" si="89"/>
        <v>1349.1</v>
      </c>
      <c r="I519" s="79">
        <f t="shared" si="89"/>
        <v>332.3</v>
      </c>
      <c r="J519" s="79">
        <f t="shared" si="89"/>
        <v>-1016.8</v>
      </c>
      <c r="K519" s="79">
        <f t="shared" si="79"/>
        <v>-75.36876436142613</v>
      </c>
    </row>
    <row r="520" spans="1:11" s="64" customFormat="1" ht="25.5">
      <c r="A520" s="77" t="s">
        <v>89</v>
      </c>
      <c r="B520" s="86" t="s">
        <v>34</v>
      </c>
      <c r="C520" s="86" t="s">
        <v>3</v>
      </c>
      <c r="D520" s="86" t="s">
        <v>1</v>
      </c>
      <c r="E520" s="83">
        <v>78001</v>
      </c>
      <c r="F520" s="83">
        <v>99200</v>
      </c>
      <c r="G520" s="86" t="s">
        <v>74</v>
      </c>
      <c r="H520" s="79">
        <f t="shared" si="89"/>
        <v>1349.1</v>
      </c>
      <c r="I520" s="79">
        <f t="shared" si="89"/>
        <v>332.3</v>
      </c>
      <c r="J520" s="79">
        <f t="shared" si="89"/>
        <v>-1016.8</v>
      </c>
      <c r="K520" s="79">
        <f t="shared" si="79"/>
        <v>-75.36876436142613</v>
      </c>
    </row>
    <row r="521" spans="1:12" s="64" customFormat="1" ht="12.75">
      <c r="A521" s="77" t="s">
        <v>92</v>
      </c>
      <c r="B521" s="86" t="s">
        <v>34</v>
      </c>
      <c r="C521" s="86" t="s">
        <v>3</v>
      </c>
      <c r="D521" s="86" t="s">
        <v>1</v>
      </c>
      <c r="E521" s="83">
        <v>78001</v>
      </c>
      <c r="F521" s="83">
        <v>99200</v>
      </c>
      <c r="G521" s="86" t="s">
        <v>75</v>
      </c>
      <c r="H521" s="85">
        <f>1100+249.1</f>
        <v>1349.1</v>
      </c>
      <c r="I521" s="85">
        <v>332.3</v>
      </c>
      <c r="J521" s="85">
        <f>I521-H521</f>
        <v>-1016.8</v>
      </c>
      <c r="K521" s="79">
        <f t="shared" si="79"/>
        <v>-75.36876436142613</v>
      </c>
      <c r="L521" s="104" t="s">
        <v>408</v>
      </c>
    </row>
    <row r="522" spans="1:11" s="64" customFormat="1" ht="12.75">
      <c r="A522" s="94" t="s">
        <v>228</v>
      </c>
      <c r="B522" s="86" t="s">
        <v>34</v>
      </c>
      <c r="C522" s="86" t="s">
        <v>3</v>
      </c>
      <c r="D522" s="86" t="s">
        <v>1</v>
      </c>
      <c r="E522" s="83">
        <v>78003</v>
      </c>
      <c r="F522" s="84" t="s">
        <v>141</v>
      </c>
      <c r="G522" s="86"/>
      <c r="H522" s="79">
        <f aca="true" t="shared" si="90" ref="H522:J524">H523</f>
        <v>6234.9</v>
      </c>
      <c r="I522" s="79">
        <f t="shared" si="90"/>
        <v>1523</v>
      </c>
      <c r="J522" s="79">
        <f t="shared" si="90"/>
        <v>-4711.9</v>
      </c>
      <c r="K522" s="79">
        <f t="shared" si="79"/>
        <v>-75.57298433014162</v>
      </c>
    </row>
    <row r="523" spans="1:11" s="64" customFormat="1" ht="12.75">
      <c r="A523" s="94" t="s">
        <v>229</v>
      </c>
      <c r="B523" s="86" t="s">
        <v>34</v>
      </c>
      <c r="C523" s="86" t="s">
        <v>3</v>
      </c>
      <c r="D523" s="86" t="s">
        <v>1</v>
      </c>
      <c r="E523" s="83">
        <v>78003</v>
      </c>
      <c r="F523" s="84" t="s">
        <v>206</v>
      </c>
      <c r="G523" s="86"/>
      <c r="H523" s="79">
        <f t="shared" si="90"/>
        <v>6234.9</v>
      </c>
      <c r="I523" s="79">
        <f t="shared" si="90"/>
        <v>1523</v>
      </c>
      <c r="J523" s="79">
        <f t="shared" si="90"/>
        <v>-4711.9</v>
      </c>
      <c r="K523" s="79">
        <f aca="true" t="shared" si="91" ref="K523:K576">I523/H523*100-100</f>
        <v>-75.57298433014162</v>
      </c>
    </row>
    <row r="524" spans="1:11" s="64" customFormat="1" ht="25.5">
      <c r="A524" s="77" t="s">
        <v>89</v>
      </c>
      <c r="B524" s="86" t="s">
        <v>34</v>
      </c>
      <c r="C524" s="86" t="s">
        <v>3</v>
      </c>
      <c r="D524" s="86" t="s">
        <v>1</v>
      </c>
      <c r="E524" s="83">
        <v>78003</v>
      </c>
      <c r="F524" s="84" t="s">
        <v>206</v>
      </c>
      <c r="G524" s="86" t="s">
        <v>74</v>
      </c>
      <c r="H524" s="79">
        <f t="shared" si="90"/>
        <v>6234.9</v>
      </c>
      <c r="I524" s="79">
        <f t="shared" si="90"/>
        <v>1523</v>
      </c>
      <c r="J524" s="79">
        <f t="shared" si="90"/>
        <v>-4711.9</v>
      </c>
      <c r="K524" s="79">
        <f t="shared" si="91"/>
        <v>-75.57298433014162</v>
      </c>
    </row>
    <row r="525" spans="1:12" s="64" customFormat="1" ht="12.75">
      <c r="A525" s="77" t="s">
        <v>92</v>
      </c>
      <c r="B525" s="86" t="s">
        <v>34</v>
      </c>
      <c r="C525" s="86" t="s">
        <v>3</v>
      </c>
      <c r="D525" s="86" t="s">
        <v>1</v>
      </c>
      <c r="E525" s="83">
        <v>78003</v>
      </c>
      <c r="F525" s="84" t="s">
        <v>206</v>
      </c>
      <c r="G525" s="86" t="s">
        <v>75</v>
      </c>
      <c r="H525" s="85">
        <f>7343.7-1108.8</f>
        <v>6234.9</v>
      </c>
      <c r="I525" s="85">
        <v>1523</v>
      </c>
      <c r="J525" s="85">
        <f>I525-H525</f>
        <v>-4711.9</v>
      </c>
      <c r="K525" s="79">
        <f t="shared" si="91"/>
        <v>-75.57298433014162</v>
      </c>
      <c r="L525" s="104" t="s">
        <v>408</v>
      </c>
    </row>
    <row r="526" spans="1:11" s="64" customFormat="1" ht="12.75">
      <c r="A526" s="94" t="s">
        <v>230</v>
      </c>
      <c r="B526" s="86" t="s">
        <v>34</v>
      </c>
      <c r="C526" s="86" t="s">
        <v>3</v>
      </c>
      <c r="D526" s="86" t="s">
        <v>1</v>
      </c>
      <c r="E526" s="83">
        <v>78004</v>
      </c>
      <c r="F526" s="84" t="s">
        <v>141</v>
      </c>
      <c r="G526" s="86"/>
      <c r="H526" s="79">
        <f>H527+H530</f>
        <v>3355.4</v>
      </c>
      <c r="I526" s="79">
        <f>I527+I530</f>
        <v>753.7</v>
      </c>
      <c r="J526" s="79">
        <f>J527+J530</f>
        <v>-2601.7</v>
      </c>
      <c r="K526" s="79">
        <f t="shared" si="91"/>
        <v>-77.53770042319843</v>
      </c>
    </row>
    <row r="527" spans="1:11" s="64" customFormat="1" ht="12.75">
      <c r="A527" s="94" t="s">
        <v>231</v>
      </c>
      <c r="B527" s="86" t="s">
        <v>34</v>
      </c>
      <c r="C527" s="86" t="s">
        <v>3</v>
      </c>
      <c r="D527" s="86" t="s">
        <v>1</v>
      </c>
      <c r="E527" s="83">
        <v>78004</v>
      </c>
      <c r="F527" s="83">
        <v>99210</v>
      </c>
      <c r="G527" s="86"/>
      <c r="H527" s="79">
        <f aca="true" t="shared" si="92" ref="H527:J528">H528</f>
        <v>415.8</v>
      </c>
      <c r="I527" s="79">
        <f t="shared" si="92"/>
        <v>18.7</v>
      </c>
      <c r="J527" s="79">
        <f t="shared" si="92"/>
        <v>-397.1</v>
      </c>
      <c r="K527" s="79">
        <f t="shared" si="91"/>
        <v>-95.5026455026455</v>
      </c>
    </row>
    <row r="528" spans="1:11" s="64" customFormat="1" ht="12.75">
      <c r="A528" s="77" t="s">
        <v>62</v>
      </c>
      <c r="B528" s="86" t="s">
        <v>34</v>
      </c>
      <c r="C528" s="86" t="s">
        <v>3</v>
      </c>
      <c r="D528" s="86" t="s">
        <v>1</v>
      </c>
      <c r="E528" s="83">
        <v>78004</v>
      </c>
      <c r="F528" s="83">
        <v>99210</v>
      </c>
      <c r="G528" s="86" t="s">
        <v>61</v>
      </c>
      <c r="H528" s="79">
        <f t="shared" si="92"/>
        <v>415.8</v>
      </c>
      <c r="I528" s="79">
        <f t="shared" si="92"/>
        <v>18.7</v>
      </c>
      <c r="J528" s="79">
        <f t="shared" si="92"/>
        <v>-397.1</v>
      </c>
      <c r="K528" s="79">
        <f t="shared" si="91"/>
        <v>-95.5026455026455</v>
      </c>
    </row>
    <row r="529" spans="1:12" s="64" customFormat="1" ht="25.5">
      <c r="A529" s="77" t="s">
        <v>63</v>
      </c>
      <c r="B529" s="86" t="s">
        <v>34</v>
      </c>
      <c r="C529" s="86" t="s">
        <v>3</v>
      </c>
      <c r="D529" s="86" t="s">
        <v>1</v>
      </c>
      <c r="E529" s="83">
        <v>78004</v>
      </c>
      <c r="F529" s="83">
        <v>99210</v>
      </c>
      <c r="G529" s="86" t="s">
        <v>17</v>
      </c>
      <c r="H529" s="85">
        <v>415.8</v>
      </c>
      <c r="I529" s="85">
        <v>18.7</v>
      </c>
      <c r="J529" s="85">
        <f>I529-H529</f>
        <v>-397.1</v>
      </c>
      <c r="K529" s="79">
        <f t="shared" si="91"/>
        <v>-95.5026455026455</v>
      </c>
      <c r="L529" s="104" t="s">
        <v>408</v>
      </c>
    </row>
    <row r="530" spans="1:11" s="64" customFormat="1" ht="12.75">
      <c r="A530" s="94" t="s">
        <v>232</v>
      </c>
      <c r="B530" s="86" t="s">
        <v>34</v>
      </c>
      <c r="C530" s="86" t="s">
        <v>3</v>
      </c>
      <c r="D530" s="86" t="s">
        <v>1</v>
      </c>
      <c r="E530" s="83">
        <v>78004</v>
      </c>
      <c r="F530" s="83">
        <v>99220</v>
      </c>
      <c r="G530" s="86"/>
      <c r="H530" s="79">
        <f aca="true" t="shared" si="93" ref="H530:J531">H531</f>
        <v>2939.6</v>
      </c>
      <c r="I530" s="79">
        <f t="shared" si="93"/>
        <v>735</v>
      </c>
      <c r="J530" s="79">
        <f t="shared" si="93"/>
        <v>-2204.6</v>
      </c>
      <c r="K530" s="79">
        <f t="shared" si="91"/>
        <v>-74.99659817662267</v>
      </c>
    </row>
    <row r="531" spans="1:11" s="64" customFormat="1" ht="24" customHeight="1">
      <c r="A531" s="77" t="s">
        <v>73</v>
      </c>
      <c r="B531" s="86" t="s">
        <v>34</v>
      </c>
      <c r="C531" s="86" t="s">
        <v>3</v>
      </c>
      <c r="D531" s="86" t="s">
        <v>1</v>
      </c>
      <c r="E531" s="83">
        <v>78004</v>
      </c>
      <c r="F531" s="83">
        <v>99220</v>
      </c>
      <c r="G531" s="86" t="s">
        <v>74</v>
      </c>
      <c r="H531" s="79">
        <f t="shared" si="93"/>
        <v>2939.6</v>
      </c>
      <c r="I531" s="79">
        <f t="shared" si="93"/>
        <v>735</v>
      </c>
      <c r="J531" s="79">
        <f t="shared" si="93"/>
        <v>-2204.6</v>
      </c>
      <c r="K531" s="79">
        <f t="shared" si="91"/>
        <v>-74.99659817662267</v>
      </c>
    </row>
    <row r="532" spans="1:12" s="64" customFormat="1" ht="12.75">
      <c r="A532" s="77" t="s">
        <v>92</v>
      </c>
      <c r="B532" s="86" t="s">
        <v>34</v>
      </c>
      <c r="C532" s="86" t="s">
        <v>3</v>
      </c>
      <c r="D532" s="86" t="s">
        <v>1</v>
      </c>
      <c r="E532" s="83">
        <v>78004</v>
      </c>
      <c r="F532" s="83">
        <v>99220</v>
      </c>
      <c r="G532" s="86" t="s">
        <v>75</v>
      </c>
      <c r="H532" s="85">
        <f>2080+859.6</f>
        <v>2939.6</v>
      </c>
      <c r="I532" s="85">
        <v>735</v>
      </c>
      <c r="J532" s="85">
        <f>I532-H532</f>
        <v>-2204.6</v>
      </c>
      <c r="K532" s="79">
        <f t="shared" si="91"/>
        <v>-74.99659817662267</v>
      </c>
      <c r="L532" s="104" t="s">
        <v>408</v>
      </c>
    </row>
    <row r="533" spans="1:11" s="64" customFormat="1" ht="12.75">
      <c r="A533" s="94" t="s">
        <v>390</v>
      </c>
      <c r="B533" s="86" t="s">
        <v>34</v>
      </c>
      <c r="C533" s="86" t="s">
        <v>3</v>
      </c>
      <c r="D533" s="86" t="s">
        <v>1</v>
      </c>
      <c r="E533" s="83">
        <v>78005</v>
      </c>
      <c r="F533" s="84" t="s">
        <v>141</v>
      </c>
      <c r="G533" s="86"/>
      <c r="H533" s="79">
        <f aca="true" t="shared" si="94" ref="H533:J535">H534</f>
        <v>3820</v>
      </c>
      <c r="I533" s="79">
        <f t="shared" si="94"/>
        <v>0</v>
      </c>
      <c r="J533" s="79">
        <f t="shared" si="94"/>
        <v>-3820</v>
      </c>
      <c r="K533" s="79">
        <f t="shared" si="91"/>
        <v>-100</v>
      </c>
    </row>
    <row r="534" spans="1:11" s="64" customFormat="1" ht="12.75">
      <c r="A534" s="77" t="s">
        <v>391</v>
      </c>
      <c r="B534" s="86" t="s">
        <v>34</v>
      </c>
      <c r="C534" s="86" t="s">
        <v>3</v>
      </c>
      <c r="D534" s="86" t="s">
        <v>1</v>
      </c>
      <c r="E534" s="83">
        <v>78005</v>
      </c>
      <c r="F534" s="83">
        <v>69100</v>
      </c>
      <c r="G534" s="86"/>
      <c r="H534" s="79">
        <f t="shared" si="94"/>
        <v>3820</v>
      </c>
      <c r="I534" s="79">
        <f t="shared" si="94"/>
        <v>0</v>
      </c>
      <c r="J534" s="79">
        <f t="shared" si="94"/>
        <v>-3820</v>
      </c>
      <c r="K534" s="79">
        <f t="shared" si="91"/>
        <v>-100</v>
      </c>
    </row>
    <row r="535" spans="1:11" s="64" customFormat="1" ht="26.25" customHeight="1">
      <c r="A535" s="77" t="s">
        <v>73</v>
      </c>
      <c r="B535" s="86" t="s">
        <v>34</v>
      </c>
      <c r="C535" s="86" t="s">
        <v>3</v>
      </c>
      <c r="D535" s="86" t="s">
        <v>1</v>
      </c>
      <c r="E535" s="83">
        <v>78005</v>
      </c>
      <c r="F535" s="83">
        <v>69100</v>
      </c>
      <c r="G535" s="86" t="s">
        <v>74</v>
      </c>
      <c r="H535" s="79">
        <f t="shared" si="94"/>
        <v>3820</v>
      </c>
      <c r="I535" s="79">
        <f t="shared" si="94"/>
        <v>0</v>
      </c>
      <c r="J535" s="79">
        <f t="shared" si="94"/>
        <v>-3820</v>
      </c>
      <c r="K535" s="79">
        <f t="shared" si="91"/>
        <v>-100</v>
      </c>
    </row>
    <row r="536" spans="1:12" s="64" customFormat="1" ht="12.75">
      <c r="A536" s="77" t="s">
        <v>92</v>
      </c>
      <c r="B536" s="86" t="s">
        <v>34</v>
      </c>
      <c r="C536" s="86" t="s">
        <v>3</v>
      </c>
      <c r="D536" s="86" t="s">
        <v>1</v>
      </c>
      <c r="E536" s="83">
        <v>78005</v>
      </c>
      <c r="F536" s="83">
        <v>69100</v>
      </c>
      <c r="G536" s="86" t="s">
        <v>75</v>
      </c>
      <c r="H536" s="85">
        <f>3220.4+599.6</f>
        <v>3820</v>
      </c>
      <c r="I536" s="85">
        <v>0</v>
      </c>
      <c r="J536" s="85">
        <f>I536-H536</f>
        <v>-3820</v>
      </c>
      <c r="K536" s="79">
        <f t="shared" si="91"/>
        <v>-100</v>
      </c>
      <c r="L536" s="104" t="s">
        <v>408</v>
      </c>
    </row>
    <row r="537" spans="1:11" s="64" customFormat="1" ht="25.5">
      <c r="A537" s="99" t="s">
        <v>289</v>
      </c>
      <c r="B537" s="86" t="s">
        <v>34</v>
      </c>
      <c r="C537" s="86" t="s">
        <v>3</v>
      </c>
      <c r="D537" s="86" t="s">
        <v>1</v>
      </c>
      <c r="E537" s="81">
        <v>78008</v>
      </c>
      <c r="F537" s="84" t="s">
        <v>141</v>
      </c>
      <c r="G537" s="86"/>
      <c r="H537" s="79">
        <f>H538+H543</f>
        <v>4640.7</v>
      </c>
      <c r="I537" s="79">
        <f>I538+I543</f>
        <v>0</v>
      </c>
      <c r="J537" s="79">
        <f>J538+J543</f>
        <v>-4640.7</v>
      </c>
      <c r="K537" s="79">
        <f t="shared" si="91"/>
        <v>-100</v>
      </c>
    </row>
    <row r="538" spans="1:11" s="64" customFormat="1" ht="25.5">
      <c r="A538" s="77" t="s">
        <v>290</v>
      </c>
      <c r="B538" s="86" t="s">
        <v>34</v>
      </c>
      <c r="C538" s="86" t="s">
        <v>3</v>
      </c>
      <c r="D538" s="86" t="s">
        <v>1</v>
      </c>
      <c r="E538" s="81">
        <v>78008</v>
      </c>
      <c r="F538" s="83">
        <v>71800</v>
      </c>
      <c r="G538" s="86"/>
      <c r="H538" s="79">
        <f aca="true" t="shared" si="95" ref="H538:J539">H539</f>
        <v>3480.5</v>
      </c>
      <c r="I538" s="79">
        <f t="shared" si="95"/>
        <v>0</v>
      </c>
      <c r="J538" s="79">
        <f t="shared" si="95"/>
        <v>-3480.5</v>
      </c>
      <c r="K538" s="79">
        <f t="shared" si="91"/>
        <v>-100</v>
      </c>
    </row>
    <row r="539" spans="1:11" s="64" customFormat="1" ht="25.5">
      <c r="A539" s="77" t="s">
        <v>89</v>
      </c>
      <c r="B539" s="86" t="s">
        <v>34</v>
      </c>
      <c r="C539" s="86" t="s">
        <v>3</v>
      </c>
      <c r="D539" s="86" t="s">
        <v>1</v>
      </c>
      <c r="E539" s="81">
        <v>78008</v>
      </c>
      <c r="F539" s="83">
        <v>71800</v>
      </c>
      <c r="G539" s="86" t="s">
        <v>74</v>
      </c>
      <c r="H539" s="79">
        <f t="shared" si="95"/>
        <v>3480.5</v>
      </c>
      <c r="I539" s="79">
        <f t="shared" si="95"/>
        <v>0</v>
      </c>
      <c r="J539" s="79">
        <f t="shared" si="95"/>
        <v>-3480.5</v>
      </c>
      <c r="K539" s="79">
        <f t="shared" si="91"/>
        <v>-100</v>
      </c>
    </row>
    <row r="540" spans="1:12" s="64" customFormat="1" ht="12.75">
      <c r="A540" s="77" t="s">
        <v>92</v>
      </c>
      <c r="B540" s="86" t="s">
        <v>34</v>
      </c>
      <c r="C540" s="86" t="s">
        <v>3</v>
      </c>
      <c r="D540" s="86" t="s">
        <v>1</v>
      </c>
      <c r="E540" s="81">
        <v>78008</v>
      </c>
      <c r="F540" s="83">
        <v>71800</v>
      </c>
      <c r="G540" s="86" t="s">
        <v>75</v>
      </c>
      <c r="H540" s="85">
        <v>3480.5</v>
      </c>
      <c r="I540" s="85">
        <v>0</v>
      </c>
      <c r="J540" s="85">
        <f>I540-H540</f>
        <v>-3480.5</v>
      </c>
      <c r="K540" s="79">
        <f t="shared" si="91"/>
        <v>-100</v>
      </c>
      <c r="L540" s="104" t="s">
        <v>408</v>
      </c>
    </row>
    <row r="541" spans="1:11" s="64" customFormat="1" ht="25.5">
      <c r="A541" s="77" t="s">
        <v>291</v>
      </c>
      <c r="B541" s="86" t="s">
        <v>34</v>
      </c>
      <c r="C541" s="86" t="s">
        <v>3</v>
      </c>
      <c r="D541" s="86" t="s">
        <v>1</v>
      </c>
      <c r="E541" s="81">
        <v>78008</v>
      </c>
      <c r="F541" s="83" t="s">
        <v>292</v>
      </c>
      <c r="G541" s="86"/>
      <c r="H541" s="79">
        <f aca="true" t="shared" si="96" ref="H541:J542">H542</f>
        <v>1160.2</v>
      </c>
      <c r="I541" s="79">
        <f t="shared" si="96"/>
        <v>0</v>
      </c>
      <c r="J541" s="79">
        <f t="shared" si="96"/>
        <v>-1160.2</v>
      </c>
      <c r="K541" s="79">
        <f t="shared" si="91"/>
        <v>-100</v>
      </c>
    </row>
    <row r="542" spans="1:11" s="64" customFormat="1" ht="25.5">
      <c r="A542" s="77" t="s">
        <v>89</v>
      </c>
      <c r="B542" s="86" t="s">
        <v>34</v>
      </c>
      <c r="C542" s="86" t="s">
        <v>3</v>
      </c>
      <c r="D542" s="86" t="s">
        <v>1</v>
      </c>
      <c r="E542" s="81">
        <v>78008</v>
      </c>
      <c r="F542" s="83" t="s">
        <v>292</v>
      </c>
      <c r="G542" s="86" t="s">
        <v>74</v>
      </c>
      <c r="H542" s="79">
        <f t="shared" si="96"/>
        <v>1160.2</v>
      </c>
      <c r="I542" s="79">
        <f t="shared" si="96"/>
        <v>0</v>
      </c>
      <c r="J542" s="79">
        <f t="shared" si="96"/>
        <v>-1160.2</v>
      </c>
      <c r="K542" s="79">
        <f t="shared" si="91"/>
        <v>-100</v>
      </c>
    </row>
    <row r="543" spans="1:12" s="64" customFormat="1" ht="12.75">
      <c r="A543" s="77" t="s">
        <v>92</v>
      </c>
      <c r="B543" s="86" t="s">
        <v>34</v>
      </c>
      <c r="C543" s="86" t="s">
        <v>3</v>
      </c>
      <c r="D543" s="86" t="s">
        <v>1</v>
      </c>
      <c r="E543" s="81">
        <v>78008</v>
      </c>
      <c r="F543" s="83" t="s">
        <v>292</v>
      </c>
      <c r="G543" s="86" t="s">
        <v>75</v>
      </c>
      <c r="H543" s="85">
        <f>174+986.2</f>
        <v>1160.2</v>
      </c>
      <c r="I543" s="85">
        <v>0</v>
      </c>
      <c r="J543" s="85">
        <f>I543-H543</f>
        <v>-1160.2</v>
      </c>
      <c r="K543" s="79">
        <f t="shared" si="91"/>
        <v>-100</v>
      </c>
      <c r="L543" s="104" t="s">
        <v>408</v>
      </c>
    </row>
    <row r="544" spans="1:11" s="64" customFormat="1" ht="12.75">
      <c r="A544" s="77" t="s">
        <v>24</v>
      </c>
      <c r="B544" s="86" t="s">
        <v>34</v>
      </c>
      <c r="C544" s="86" t="s">
        <v>12</v>
      </c>
      <c r="D544" s="86"/>
      <c r="E544" s="86"/>
      <c r="F544" s="86"/>
      <c r="G544" s="86"/>
      <c r="H544" s="79">
        <f aca="true" t="shared" si="97" ref="H544:J550">H545</f>
        <v>801.7</v>
      </c>
      <c r="I544" s="79">
        <f t="shared" si="97"/>
        <v>252.7</v>
      </c>
      <c r="J544" s="79">
        <f t="shared" si="97"/>
        <v>-549</v>
      </c>
      <c r="K544" s="79">
        <f t="shared" si="91"/>
        <v>-68.47948110265686</v>
      </c>
    </row>
    <row r="545" spans="1:11" s="64" customFormat="1" ht="12.75">
      <c r="A545" s="77" t="s">
        <v>97</v>
      </c>
      <c r="B545" s="86" t="s">
        <v>34</v>
      </c>
      <c r="C545" s="86" t="s">
        <v>12</v>
      </c>
      <c r="D545" s="86" t="s">
        <v>8</v>
      </c>
      <c r="E545" s="86"/>
      <c r="F545" s="86"/>
      <c r="G545" s="86"/>
      <c r="H545" s="79">
        <f t="shared" si="97"/>
        <v>801.7</v>
      </c>
      <c r="I545" s="79">
        <f t="shared" si="97"/>
        <v>252.7</v>
      </c>
      <c r="J545" s="79">
        <f t="shared" si="97"/>
        <v>-549</v>
      </c>
      <c r="K545" s="79">
        <f t="shared" si="91"/>
        <v>-68.47948110265686</v>
      </c>
    </row>
    <row r="546" spans="1:11" s="64" customFormat="1" ht="12.75">
      <c r="A546" s="77" t="s">
        <v>367</v>
      </c>
      <c r="B546" s="86" t="s">
        <v>34</v>
      </c>
      <c r="C546" s="86" t="s">
        <v>12</v>
      </c>
      <c r="D546" s="86" t="s">
        <v>8</v>
      </c>
      <c r="E546" s="83">
        <v>77000</v>
      </c>
      <c r="F546" s="84" t="s">
        <v>141</v>
      </c>
      <c r="G546" s="86"/>
      <c r="H546" s="79">
        <f t="shared" si="97"/>
        <v>801.7</v>
      </c>
      <c r="I546" s="79">
        <f t="shared" si="97"/>
        <v>252.7</v>
      </c>
      <c r="J546" s="79">
        <f t="shared" si="97"/>
        <v>-549</v>
      </c>
      <c r="K546" s="79">
        <f t="shared" si="91"/>
        <v>-68.47948110265686</v>
      </c>
    </row>
    <row r="547" spans="1:11" s="64" customFormat="1" ht="25.5">
      <c r="A547" s="77" t="s">
        <v>368</v>
      </c>
      <c r="B547" s="86" t="s">
        <v>34</v>
      </c>
      <c r="C547" s="86" t="s">
        <v>12</v>
      </c>
      <c r="D547" s="86" t="s">
        <v>8</v>
      </c>
      <c r="E547" s="83">
        <v>77100</v>
      </c>
      <c r="F547" s="84" t="s">
        <v>141</v>
      </c>
      <c r="G547" s="86"/>
      <c r="H547" s="79">
        <f t="shared" si="97"/>
        <v>801.7</v>
      </c>
      <c r="I547" s="79">
        <f t="shared" si="97"/>
        <v>252.7</v>
      </c>
      <c r="J547" s="79">
        <f t="shared" si="97"/>
        <v>-549</v>
      </c>
      <c r="K547" s="79">
        <f t="shared" si="91"/>
        <v>-68.47948110265686</v>
      </c>
    </row>
    <row r="548" spans="1:11" s="64" customFormat="1" ht="51">
      <c r="A548" s="77" t="s">
        <v>233</v>
      </c>
      <c r="B548" s="86" t="s">
        <v>34</v>
      </c>
      <c r="C548" s="86" t="s">
        <v>12</v>
      </c>
      <c r="D548" s="86" t="s">
        <v>8</v>
      </c>
      <c r="E548" s="83">
        <v>77107</v>
      </c>
      <c r="F548" s="84" t="s">
        <v>141</v>
      </c>
      <c r="G548" s="86"/>
      <c r="H548" s="79">
        <f t="shared" si="97"/>
        <v>801.7</v>
      </c>
      <c r="I548" s="79">
        <f t="shared" si="97"/>
        <v>252.7</v>
      </c>
      <c r="J548" s="79">
        <f t="shared" si="97"/>
        <v>-549</v>
      </c>
      <c r="K548" s="79">
        <f t="shared" si="91"/>
        <v>-68.47948110265686</v>
      </c>
    </row>
    <row r="549" spans="1:11" s="64" customFormat="1" ht="38.25">
      <c r="A549" s="77" t="s">
        <v>234</v>
      </c>
      <c r="B549" s="86" t="s">
        <v>34</v>
      </c>
      <c r="C549" s="86" t="s">
        <v>12</v>
      </c>
      <c r="D549" s="86" t="s">
        <v>8</v>
      </c>
      <c r="E549" s="83">
        <v>77107</v>
      </c>
      <c r="F549" s="83">
        <v>77900</v>
      </c>
      <c r="G549" s="86"/>
      <c r="H549" s="79">
        <f t="shared" si="97"/>
        <v>801.7</v>
      </c>
      <c r="I549" s="79">
        <f t="shared" si="97"/>
        <v>252.7</v>
      </c>
      <c r="J549" s="79">
        <f t="shared" si="97"/>
        <v>-549</v>
      </c>
      <c r="K549" s="79">
        <f t="shared" si="91"/>
        <v>-68.47948110265686</v>
      </c>
    </row>
    <row r="550" spans="1:11" s="64" customFormat="1" ht="12.75">
      <c r="A550" s="77" t="s">
        <v>90</v>
      </c>
      <c r="B550" s="86" t="s">
        <v>34</v>
      </c>
      <c r="C550" s="86" t="s">
        <v>12</v>
      </c>
      <c r="D550" s="86" t="s">
        <v>8</v>
      </c>
      <c r="E550" s="83">
        <v>77107</v>
      </c>
      <c r="F550" s="83">
        <v>77900</v>
      </c>
      <c r="G550" s="86" t="s">
        <v>68</v>
      </c>
      <c r="H550" s="79">
        <f t="shared" si="97"/>
        <v>801.7</v>
      </c>
      <c r="I550" s="79">
        <f t="shared" si="97"/>
        <v>252.7</v>
      </c>
      <c r="J550" s="79">
        <f t="shared" si="97"/>
        <v>-549</v>
      </c>
      <c r="K550" s="79">
        <f t="shared" si="91"/>
        <v>-68.47948110265686</v>
      </c>
    </row>
    <row r="551" spans="1:12" s="64" customFormat="1" ht="12.75">
      <c r="A551" s="77" t="s">
        <v>124</v>
      </c>
      <c r="B551" s="86" t="s">
        <v>34</v>
      </c>
      <c r="C551" s="86" t="s">
        <v>12</v>
      </c>
      <c r="D551" s="86" t="s">
        <v>8</v>
      </c>
      <c r="E551" s="83">
        <v>77107</v>
      </c>
      <c r="F551" s="83">
        <v>77900</v>
      </c>
      <c r="G551" s="86" t="s">
        <v>69</v>
      </c>
      <c r="H551" s="85">
        <v>801.7</v>
      </c>
      <c r="I551" s="85">
        <v>252.7</v>
      </c>
      <c r="J551" s="85">
        <f>I551-H551</f>
        <v>-549</v>
      </c>
      <c r="K551" s="79">
        <f t="shared" si="91"/>
        <v>-68.47948110265686</v>
      </c>
      <c r="L551" s="104" t="s">
        <v>408</v>
      </c>
    </row>
    <row r="552" spans="1:11" s="64" customFormat="1" ht="12.75">
      <c r="A552" s="77" t="s">
        <v>38</v>
      </c>
      <c r="B552" s="86" t="s">
        <v>34</v>
      </c>
      <c r="C552" s="86" t="s">
        <v>47</v>
      </c>
      <c r="D552" s="86"/>
      <c r="E552" s="86"/>
      <c r="F552" s="86"/>
      <c r="G552" s="86"/>
      <c r="H552" s="79">
        <f aca="true" t="shared" si="98" ref="H552:J553">H553</f>
        <v>605.1999999999999</v>
      </c>
      <c r="I552" s="79">
        <f t="shared" si="98"/>
        <v>53.900000000000006</v>
      </c>
      <c r="J552" s="79">
        <f t="shared" si="98"/>
        <v>-551.3000000000001</v>
      </c>
      <c r="K552" s="79">
        <f t="shared" si="91"/>
        <v>-91.09385327164574</v>
      </c>
    </row>
    <row r="553" spans="1:11" s="64" customFormat="1" ht="12.75">
      <c r="A553" s="77" t="s">
        <v>48</v>
      </c>
      <c r="B553" s="86" t="s">
        <v>34</v>
      </c>
      <c r="C553" s="86" t="s">
        <v>47</v>
      </c>
      <c r="D553" s="86" t="s">
        <v>6</v>
      </c>
      <c r="E553" s="86"/>
      <c r="F553" s="86"/>
      <c r="G553" s="86"/>
      <c r="H553" s="79">
        <f t="shared" si="98"/>
        <v>605.1999999999999</v>
      </c>
      <c r="I553" s="79">
        <f t="shared" si="98"/>
        <v>53.900000000000006</v>
      </c>
      <c r="J553" s="79">
        <f t="shared" si="98"/>
        <v>-551.3000000000001</v>
      </c>
      <c r="K553" s="79">
        <f t="shared" si="91"/>
        <v>-91.09385327164574</v>
      </c>
    </row>
    <row r="554" spans="1:11" s="64" customFormat="1" ht="25.5">
      <c r="A554" s="77" t="s">
        <v>346</v>
      </c>
      <c r="B554" s="86" t="s">
        <v>34</v>
      </c>
      <c r="C554" s="86" t="s">
        <v>47</v>
      </c>
      <c r="D554" s="86" t="s">
        <v>6</v>
      </c>
      <c r="E554" s="83">
        <v>79000</v>
      </c>
      <c r="F554" s="84" t="s">
        <v>141</v>
      </c>
      <c r="G554" s="86"/>
      <c r="H554" s="79">
        <f>H555+H559+H563+H567+H571</f>
        <v>605.1999999999999</v>
      </c>
      <c r="I554" s="79">
        <f>I555+I559+I563+I567+I571</f>
        <v>53.900000000000006</v>
      </c>
      <c r="J554" s="79">
        <f>J555+J559+J563+J567+J571</f>
        <v>-551.3000000000001</v>
      </c>
      <c r="K554" s="79">
        <f t="shared" si="91"/>
        <v>-91.09385327164574</v>
      </c>
    </row>
    <row r="555" spans="1:11" s="64" customFormat="1" ht="38.25">
      <c r="A555" s="77" t="s">
        <v>392</v>
      </c>
      <c r="B555" s="86" t="s">
        <v>34</v>
      </c>
      <c r="C555" s="86" t="s">
        <v>47</v>
      </c>
      <c r="D555" s="86" t="s">
        <v>6</v>
      </c>
      <c r="E555" s="83">
        <v>79004</v>
      </c>
      <c r="F555" s="84" t="s">
        <v>141</v>
      </c>
      <c r="G555" s="86"/>
      <c r="H555" s="79">
        <f aca="true" t="shared" si="99" ref="H555:J557">H556</f>
        <v>342.6</v>
      </c>
      <c r="I555" s="79">
        <f t="shared" si="99"/>
        <v>37.7</v>
      </c>
      <c r="J555" s="79">
        <f t="shared" si="99"/>
        <v>-304.90000000000003</v>
      </c>
      <c r="K555" s="79">
        <f t="shared" si="91"/>
        <v>-88.99591360186807</v>
      </c>
    </row>
    <row r="556" spans="1:11" s="64" customFormat="1" ht="25.5">
      <c r="A556" s="77" t="s">
        <v>393</v>
      </c>
      <c r="B556" s="86" t="s">
        <v>34</v>
      </c>
      <c r="C556" s="86" t="s">
        <v>47</v>
      </c>
      <c r="D556" s="86" t="s">
        <v>6</v>
      </c>
      <c r="E556" s="83">
        <v>79004</v>
      </c>
      <c r="F556" s="83">
        <v>99310</v>
      </c>
      <c r="G556" s="86"/>
      <c r="H556" s="79">
        <f t="shared" si="99"/>
        <v>342.6</v>
      </c>
      <c r="I556" s="79">
        <f t="shared" si="99"/>
        <v>37.7</v>
      </c>
      <c r="J556" s="79">
        <f t="shared" si="99"/>
        <v>-304.90000000000003</v>
      </c>
      <c r="K556" s="79">
        <f t="shared" si="91"/>
        <v>-88.99591360186807</v>
      </c>
    </row>
    <row r="557" spans="1:11" s="64" customFormat="1" ht="27" customHeight="1">
      <c r="A557" s="77" t="s">
        <v>73</v>
      </c>
      <c r="B557" s="86" t="s">
        <v>34</v>
      </c>
      <c r="C557" s="86" t="s">
        <v>47</v>
      </c>
      <c r="D557" s="86" t="s">
        <v>6</v>
      </c>
      <c r="E557" s="83">
        <v>79004</v>
      </c>
      <c r="F557" s="83">
        <v>99310</v>
      </c>
      <c r="G557" s="86" t="s">
        <v>74</v>
      </c>
      <c r="H557" s="79">
        <f t="shared" si="99"/>
        <v>342.6</v>
      </c>
      <c r="I557" s="79">
        <f t="shared" si="99"/>
        <v>37.7</v>
      </c>
      <c r="J557" s="79">
        <f t="shared" si="99"/>
        <v>-304.90000000000003</v>
      </c>
      <c r="K557" s="79">
        <f t="shared" si="91"/>
        <v>-88.99591360186807</v>
      </c>
    </row>
    <row r="558" spans="1:12" s="64" customFormat="1" ht="12.75">
      <c r="A558" s="77" t="s">
        <v>92</v>
      </c>
      <c r="B558" s="86" t="s">
        <v>34</v>
      </c>
      <c r="C558" s="86" t="s">
        <v>47</v>
      </c>
      <c r="D558" s="86" t="s">
        <v>6</v>
      </c>
      <c r="E558" s="83">
        <v>79004</v>
      </c>
      <c r="F558" s="83">
        <v>99310</v>
      </c>
      <c r="G558" s="86" t="s">
        <v>75</v>
      </c>
      <c r="H558" s="85">
        <f>224.2+118.4</f>
        <v>342.6</v>
      </c>
      <c r="I558" s="85">
        <v>37.7</v>
      </c>
      <c r="J558" s="85">
        <f>I558-H558</f>
        <v>-304.90000000000003</v>
      </c>
      <c r="K558" s="79">
        <f t="shared" si="91"/>
        <v>-88.99591360186807</v>
      </c>
      <c r="L558" s="104" t="s">
        <v>408</v>
      </c>
    </row>
    <row r="559" spans="1:11" s="64" customFormat="1" ht="12.75">
      <c r="A559" s="77" t="s">
        <v>394</v>
      </c>
      <c r="B559" s="86" t="s">
        <v>34</v>
      </c>
      <c r="C559" s="86" t="s">
        <v>47</v>
      </c>
      <c r="D559" s="86" t="s">
        <v>6</v>
      </c>
      <c r="E559" s="83">
        <v>79005</v>
      </c>
      <c r="F559" s="84" t="s">
        <v>141</v>
      </c>
      <c r="G559" s="86"/>
      <c r="H559" s="79">
        <f aca="true" t="shared" si="100" ref="H559:J575">H560</f>
        <v>90</v>
      </c>
      <c r="I559" s="79">
        <f t="shared" si="100"/>
        <v>0</v>
      </c>
      <c r="J559" s="79">
        <f t="shared" si="100"/>
        <v>-90</v>
      </c>
      <c r="K559" s="79">
        <f t="shared" si="91"/>
        <v>-100</v>
      </c>
    </row>
    <row r="560" spans="1:11" s="64" customFormat="1" ht="12.75">
      <c r="A560" s="77" t="s">
        <v>395</v>
      </c>
      <c r="B560" s="86" t="s">
        <v>34</v>
      </c>
      <c r="C560" s="86" t="s">
        <v>47</v>
      </c>
      <c r="D560" s="86" t="s">
        <v>6</v>
      </c>
      <c r="E560" s="83">
        <v>79005</v>
      </c>
      <c r="F560" s="83">
        <v>99310</v>
      </c>
      <c r="G560" s="86"/>
      <c r="H560" s="79">
        <f t="shared" si="100"/>
        <v>90</v>
      </c>
      <c r="I560" s="79">
        <f t="shared" si="100"/>
        <v>0</v>
      </c>
      <c r="J560" s="79">
        <f t="shared" si="100"/>
        <v>-90</v>
      </c>
      <c r="K560" s="79">
        <f t="shared" si="91"/>
        <v>-100</v>
      </c>
    </row>
    <row r="561" spans="1:11" s="64" customFormat="1" ht="12.75">
      <c r="A561" s="77" t="s">
        <v>62</v>
      </c>
      <c r="B561" s="86" t="s">
        <v>34</v>
      </c>
      <c r="C561" s="86" t="s">
        <v>47</v>
      </c>
      <c r="D561" s="86" t="s">
        <v>6</v>
      </c>
      <c r="E561" s="83">
        <v>79005</v>
      </c>
      <c r="F561" s="83">
        <v>99310</v>
      </c>
      <c r="G561" s="86" t="s">
        <v>61</v>
      </c>
      <c r="H561" s="79">
        <f t="shared" si="100"/>
        <v>90</v>
      </c>
      <c r="I561" s="79">
        <f t="shared" si="100"/>
        <v>0</v>
      </c>
      <c r="J561" s="79">
        <f t="shared" si="100"/>
        <v>-90</v>
      </c>
      <c r="K561" s="79">
        <f t="shared" si="91"/>
        <v>-100</v>
      </c>
    </row>
    <row r="562" spans="1:12" s="64" customFormat="1" ht="25.5">
      <c r="A562" s="77" t="s">
        <v>63</v>
      </c>
      <c r="B562" s="86" t="s">
        <v>34</v>
      </c>
      <c r="C562" s="86" t="s">
        <v>47</v>
      </c>
      <c r="D562" s="86" t="s">
        <v>6</v>
      </c>
      <c r="E562" s="83">
        <v>79005</v>
      </c>
      <c r="F562" s="83">
        <v>99310</v>
      </c>
      <c r="G562" s="86" t="s">
        <v>17</v>
      </c>
      <c r="H562" s="85">
        <f>110-20</f>
        <v>90</v>
      </c>
      <c r="I562" s="85">
        <v>0</v>
      </c>
      <c r="J562" s="85">
        <f>I562-H562</f>
        <v>-90</v>
      </c>
      <c r="K562" s="79">
        <f t="shared" si="91"/>
        <v>-100</v>
      </c>
      <c r="L562" s="104" t="s">
        <v>408</v>
      </c>
    </row>
    <row r="563" spans="1:11" s="64" customFormat="1" ht="25.5">
      <c r="A563" s="77" t="s">
        <v>396</v>
      </c>
      <c r="B563" s="86" t="s">
        <v>34</v>
      </c>
      <c r="C563" s="86" t="s">
        <v>47</v>
      </c>
      <c r="D563" s="86" t="s">
        <v>6</v>
      </c>
      <c r="E563" s="83">
        <v>79006</v>
      </c>
      <c r="F563" s="84" t="s">
        <v>141</v>
      </c>
      <c r="G563" s="86"/>
      <c r="H563" s="79">
        <f t="shared" si="100"/>
        <v>73.4</v>
      </c>
      <c r="I563" s="79">
        <f t="shared" si="100"/>
        <v>0</v>
      </c>
      <c r="J563" s="79">
        <f t="shared" si="100"/>
        <v>-73.4</v>
      </c>
      <c r="K563" s="79">
        <f t="shared" si="91"/>
        <v>-100</v>
      </c>
    </row>
    <row r="564" spans="1:11" s="64" customFormat="1" ht="12.75">
      <c r="A564" s="77" t="s">
        <v>397</v>
      </c>
      <c r="B564" s="86" t="s">
        <v>34</v>
      </c>
      <c r="C564" s="86" t="s">
        <v>47</v>
      </c>
      <c r="D564" s="86" t="s">
        <v>6</v>
      </c>
      <c r="E564" s="83">
        <v>79006</v>
      </c>
      <c r="F564" s="83">
        <v>99310</v>
      </c>
      <c r="G564" s="86"/>
      <c r="H564" s="79">
        <f t="shared" si="100"/>
        <v>73.4</v>
      </c>
      <c r="I564" s="79">
        <f t="shared" si="100"/>
        <v>0</v>
      </c>
      <c r="J564" s="79">
        <f t="shared" si="100"/>
        <v>-73.4</v>
      </c>
      <c r="K564" s="79">
        <f t="shared" si="91"/>
        <v>-100</v>
      </c>
    </row>
    <row r="565" spans="1:11" s="64" customFormat="1" ht="24.75" customHeight="1">
      <c r="A565" s="77" t="s">
        <v>73</v>
      </c>
      <c r="B565" s="86" t="s">
        <v>34</v>
      </c>
      <c r="C565" s="86" t="s">
        <v>47</v>
      </c>
      <c r="D565" s="86" t="s">
        <v>6</v>
      </c>
      <c r="E565" s="83">
        <v>79006</v>
      </c>
      <c r="F565" s="83">
        <v>99310</v>
      </c>
      <c r="G565" s="86" t="s">
        <v>74</v>
      </c>
      <c r="H565" s="79">
        <f t="shared" si="100"/>
        <v>73.4</v>
      </c>
      <c r="I565" s="79">
        <f t="shared" si="100"/>
        <v>0</v>
      </c>
      <c r="J565" s="79">
        <f t="shared" si="100"/>
        <v>-73.4</v>
      </c>
      <c r="K565" s="79">
        <f t="shared" si="91"/>
        <v>-100</v>
      </c>
    </row>
    <row r="566" spans="1:12" s="64" customFormat="1" ht="12.75">
      <c r="A566" s="77" t="s">
        <v>92</v>
      </c>
      <c r="B566" s="86" t="s">
        <v>34</v>
      </c>
      <c r="C566" s="86" t="s">
        <v>47</v>
      </c>
      <c r="D566" s="86" t="s">
        <v>6</v>
      </c>
      <c r="E566" s="83">
        <v>79006</v>
      </c>
      <c r="F566" s="83">
        <v>99310</v>
      </c>
      <c r="G566" s="86" t="s">
        <v>75</v>
      </c>
      <c r="H566" s="85">
        <v>73.4</v>
      </c>
      <c r="I566" s="85">
        <v>0</v>
      </c>
      <c r="J566" s="85">
        <f>I566-H566</f>
        <v>-73.4</v>
      </c>
      <c r="K566" s="79">
        <f t="shared" si="91"/>
        <v>-100</v>
      </c>
      <c r="L566" s="104" t="s">
        <v>408</v>
      </c>
    </row>
    <row r="567" spans="1:11" s="64" customFormat="1" ht="12.75">
      <c r="A567" s="77" t="s">
        <v>398</v>
      </c>
      <c r="B567" s="86" t="s">
        <v>34</v>
      </c>
      <c r="C567" s="86" t="s">
        <v>47</v>
      </c>
      <c r="D567" s="86" t="s">
        <v>6</v>
      </c>
      <c r="E567" s="83">
        <v>79008</v>
      </c>
      <c r="F567" s="84" t="s">
        <v>141</v>
      </c>
      <c r="G567" s="86"/>
      <c r="H567" s="79">
        <f t="shared" si="100"/>
        <v>87.9</v>
      </c>
      <c r="I567" s="79">
        <f t="shared" si="100"/>
        <v>16.2</v>
      </c>
      <c r="J567" s="79">
        <f t="shared" si="100"/>
        <v>-71.7</v>
      </c>
      <c r="K567" s="79">
        <f t="shared" si="91"/>
        <v>-81.56996587030717</v>
      </c>
    </row>
    <row r="568" spans="1:11" s="64" customFormat="1" ht="12.75">
      <c r="A568" s="77" t="s">
        <v>399</v>
      </c>
      <c r="B568" s="86" t="s">
        <v>34</v>
      </c>
      <c r="C568" s="86" t="s">
        <v>47</v>
      </c>
      <c r="D568" s="86" t="s">
        <v>6</v>
      </c>
      <c r="E568" s="83">
        <v>79008</v>
      </c>
      <c r="F568" s="83">
        <v>99310</v>
      </c>
      <c r="G568" s="86"/>
      <c r="H568" s="79">
        <f t="shared" si="100"/>
        <v>87.9</v>
      </c>
      <c r="I568" s="79">
        <f t="shared" si="100"/>
        <v>16.2</v>
      </c>
      <c r="J568" s="79">
        <f t="shared" si="100"/>
        <v>-71.7</v>
      </c>
      <c r="K568" s="79">
        <f t="shared" si="91"/>
        <v>-81.56996587030717</v>
      </c>
    </row>
    <row r="569" spans="1:11" s="64" customFormat="1" ht="12.75">
      <c r="A569" s="77" t="s">
        <v>62</v>
      </c>
      <c r="B569" s="86" t="s">
        <v>34</v>
      </c>
      <c r="C569" s="86" t="s">
        <v>47</v>
      </c>
      <c r="D569" s="86" t="s">
        <v>6</v>
      </c>
      <c r="E569" s="83">
        <v>79008</v>
      </c>
      <c r="F569" s="83">
        <v>99310</v>
      </c>
      <c r="G569" s="86" t="s">
        <v>61</v>
      </c>
      <c r="H569" s="79">
        <f t="shared" si="100"/>
        <v>87.9</v>
      </c>
      <c r="I569" s="79">
        <f t="shared" si="100"/>
        <v>16.2</v>
      </c>
      <c r="J569" s="79">
        <f t="shared" si="100"/>
        <v>-71.7</v>
      </c>
      <c r="K569" s="79">
        <f t="shared" si="91"/>
        <v>-81.56996587030717</v>
      </c>
    </row>
    <row r="570" spans="1:12" s="64" customFormat="1" ht="25.5">
      <c r="A570" s="77" t="s">
        <v>63</v>
      </c>
      <c r="B570" s="86" t="s">
        <v>34</v>
      </c>
      <c r="C570" s="86" t="s">
        <v>47</v>
      </c>
      <c r="D570" s="86" t="s">
        <v>6</v>
      </c>
      <c r="E570" s="83">
        <v>79008</v>
      </c>
      <c r="F570" s="83">
        <v>99310</v>
      </c>
      <c r="G570" s="86" t="s">
        <v>17</v>
      </c>
      <c r="H570" s="85">
        <v>87.9</v>
      </c>
      <c r="I570" s="85">
        <v>16.2</v>
      </c>
      <c r="J570" s="85">
        <f>I570-H570</f>
        <v>-71.7</v>
      </c>
      <c r="K570" s="79">
        <f t="shared" si="91"/>
        <v>-81.56996587030717</v>
      </c>
      <c r="L570" s="104" t="s">
        <v>408</v>
      </c>
    </row>
    <row r="571" spans="1:11" s="64" customFormat="1" ht="17.25" customHeight="1">
      <c r="A571" s="77" t="s">
        <v>400</v>
      </c>
      <c r="B571" s="86" t="s">
        <v>34</v>
      </c>
      <c r="C571" s="86" t="s">
        <v>47</v>
      </c>
      <c r="D571" s="86" t="s">
        <v>6</v>
      </c>
      <c r="E571" s="83">
        <v>79010</v>
      </c>
      <c r="F571" s="84" t="s">
        <v>141</v>
      </c>
      <c r="G571" s="86"/>
      <c r="H571" s="79">
        <f t="shared" si="100"/>
        <v>11.3</v>
      </c>
      <c r="I571" s="79">
        <f t="shared" si="100"/>
        <v>0</v>
      </c>
      <c r="J571" s="79">
        <f t="shared" si="100"/>
        <v>-11.3</v>
      </c>
      <c r="K571" s="79">
        <f t="shared" si="91"/>
        <v>-100</v>
      </c>
    </row>
    <row r="572" spans="1:11" s="64" customFormat="1" ht="12.75">
      <c r="A572" s="77" t="s">
        <v>401</v>
      </c>
      <c r="B572" s="86" t="s">
        <v>34</v>
      </c>
      <c r="C572" s="86" t="s">
        <v>47</v>
      </c>
      <c r="D572" s="86" t="s">
        <v>6</v>
      </c>
      <c r="E572" s="83">
        <v>79010</v>
      </c>
      <c r="F572" s="83">
        <v>99310</v>
      </c>
      <c r="G572" s="86"/>
      <c r="H572" s="79">
        <f>H573+H575</f>
        <v>11.3</v>
      </c>
      <c r="I572" s="79">
        <f>I573+I575</f>
        <v>0</v>
      </c>
      <c r="J572" s="79">
        <f>J573+J575</f>
        <v>-11.3</v>
      </c>
      <c r="K572" s="79">
        <f t="shared" si="91"/>
        <v>-100</v>
      </c>
    </row>
    <row r="573" spans="1:11" s="64" customFormat="1" ht="12.75">
      <c r="A573" s="77" t="s">
        <v>62</v>
      </c>
      <c r="B573" s="86" t="s">
        <v>34</v>
      </c>
      <c r="C573" s="86" t="s">
        <v>47</v>
      </c>
      <c r="D573" s="86" t="s">
        <v>6</v>
      </c>
      <c r="E573" s="83">
        <v>79010</v>
      </c>
      <c r="F573" s="83">
        <v>99310</v>
      </c>
      <c r="G573" s="86" t="s">
        <v>61</v>
      </c>
      <c r="H573" s="79">
        <f t="shared" si="100"/>
        <v>3.8</v>
      </c>
      <c r="I573" s="79">
        <f t="shared" si="100"/>
        <v>0</v>
      </c>
      <c r="J573" s="79">
        <f t="shared" si="100"/>
        <v>-3.8</v>
      </c>
      <c r="K573" s="79">
        <f t="shared" si="91"/>
        <v>-100</v>
      </c>
    </row>
    <row r="574" spans="1:12" s="64" customFormat="1" ht="25.5">
      <c r="A574" s="77" t="s">
        <v>63</v>
      </c>
      <c r="B574" s="86" t="s">
        <v>34</v>
      </c>
      <c r="C574" s="86" t="s">
        <v>47</v>
      </c>
      <c r="D574" s="86" t="s">
        <v>6</v>
      </c>
      <c r="E574" s="83">
        <v>79010</v>
      </c>
      <c r="F574" s="83">
        <v>99310</v>
      </c>
      <c r="G574" s="86" t="s">
        <v>17</v>
      </c>
      <c r="H574" s="85">
        <v>3.8</v>
      </c>
      <c r="I574" s="85">
        <v>0</v>
      </c>
      <c r="J574" s="85">
        <f>I574-H574</f>
        <v>-3.8</v>
      </c>
      <c r="K574" s="79">
        <f t="shared" si="91"/>
        <v>-100</v>
      </c>
      <c r="L574" s="104" t="s">
        <v>408</v>
      </c>
    </row>
    <row r="575" spans="1:11" s="64" customFormat="1" ht="24.75" customHeight="1">
      <c r="A575" s="77" t="s">
        <v>73</v>
      </c>
      <c r="B575" s="86" t="s">
        <v>34</v>
      </c>
      <c r="C575" s="86" t="s">
        <v>47</v>
      </c>
      <c r="D575" s="86" t="s">
        <v>6</v>
      </c>
      <c r="E575" s="83">
        <v>79010</v>
      </c>
      <c r="F575" s="83">
        <v>99310</v>
      </c>
      <c r="G575" s="86" t="s">
        <v>74</v>
      </c>
      <c r="H575" s="79">
        <f t="shared" si="100"/>
        <v>7.5</v>
      </c>
      <c r="I575" s="79">
        <f t="shared" si="100"/>
        <v>0</v>
      </c>
      <c r="J575" s="79">
        <f t="shared" si="100"/>
        <v>-7.5</v>
      </c>
      <c r="K575" s="79">
        <f t="shared" si="91"/>
        <v>-100</v>
      </c>
    </row>
    <row r="576" spans="1:12" s="64" customFormat="1" ht="12.75">
      <c r="A576" s="77" t="s">
        <v>92</v>
      </c>
      <c r="B576" s="86" t="s">
        <v>34</v>
      </c>
      <c r="C576" s="86" t="s">
        <v>47</v>
      </c>
      <c r="D576" s="86" t="s">
        <v>6</v>
      </c>
      <c r="E576" s="83">
        <v>79010</v>
      </c>
      <c r="F576" s="83">
        <v>99310</v>
      </c>
      <c r="G576" s="86" t="s">
        <v>75</v>
      </c>
      <c r="H576" s="85">
        <v>7.5</v>
      </c>
      <c r="I576" s="85">
        <v>0</v>
      </c>
      <c r="J576" s="85">
        <f>I576-H576</f>
        <v>-7.5</v>
      </c>
      <c r="K576" s="79">
        <f t="shared" si="91"/>
        <v>-100</v>
      </c>
      <c r="L576" s="104" t="s">
        <v>408</v>
      </c>
    </row>
    <row r="577" spans="1:11" s="64" customFormat="1" ht="12.75">
      <c r="A577" s="87" t="s">
        <v>29</v>
      </c>
      <c r="B577" s="86"/>
      <c r="C577" s="86"/>
      <c r="D577" s="86"/>
      <c r="E577" s="86"/>
      <c r="F577" s="86"/>
      <c r="G577" s="86"/>
      <c r="H577" s="76">
        <f>H10+H20+H331+H367</f>
        <v>187700.40000000002</v>
      </c>
      <c r="I577" s="76">
        <f>I10+I20+I331+I367</f>
        <v>33299.700000000004</v>
      </c>
      <c r="J577" s="76">
        <f>J10+J20+J331+J367</f>
        <v>-154400.7</v>
      </c>
      <c r="K577" s="79">
        <f>I577/H577*100-100</f>
        <v>-82.25912145099318</v>
      </c>
    </row>
    <row r="578" spans="1:11" s="64" customFormat="1" ht="15.75">
      <c r="A578" s="55"/>
      <c r="B578" s="56"/>
      <c r="C578" s="55"/>
      <c r="D578" s="55"/>
      <c r="E578" s="57"/>
      <c r="F578" s="57"/>
      <c r="G578" s="57"/>
      <c r="H578" s="65"/>
      <c r="I578" s="65"/>
      <c r="J578" s="65"/>
      <c r="K578" s="65"/>
    </row>
    <row r="579" spans="1:11" s="64" customFormat="1" ht="15.75">
      <c r="A579" s="55"/>
      <c r="B579" s="56"/>
      <c r="C579" s="55"/>
      <c r="D579" s="55"/>
      <c r="E579" s="55"/>
      <c r="F579" s="55"/>
      <c r="G579" s="55"/>
      <c r="H579" s="66"/>
      <c r="I579" s="66"/>
      <c r="J579" s="66"/>
      <c r="K579" s="66"/>
    </row>
    <row r="580" spans="1:11" s="64" customFormat="1" ht="15.75">
      <c r="A580" s="55" t="s">
        <v>406</v>
      </c>
      <c r="B580" s="54"/>
      <c r="C580" s="53"/>
      <c r="D580" s="124"/>
      <c r="E580" s="124"/>
      <c r="F580" s="124"/>
      <c r="G580" s="124"/>
      <c r="H580" s="65"/>
      <c r="I580" s="127" t="s">
        <v>407</v>
      </c>
      <c r="J580" s="127"/>
      <c r="K580" s="65"/>
    </row>
    <row r="581" spans="1:11" s="64" customFormat="1" ht="15.75">
      <c r="A581" s="55"/>
      <c r="B581" s="56"/>
      <c r="C581" s="53"/>
      <c r="D581" s="129" t="s">
        <v>303</v>
      </c>
      <c r="E581" s="129"/>
      <c r="F581" s="129"/>
      <c r="G581" s="129"/>
      <c r="H581" s="57"/>
      <c r="I581" s="128" t="s">
        <v>304</v>
      </c>
      <c r="J581" s="128"/>
      <c r="K581" s="57"/>
    </row>
    <row r="582" spans="1:11" s="64" customFormat="1" ht="15.75">
      <c r="A582" s="55"/>
      <c r="B582" s="56"/>
      <c r="C582" s="55"/>
      <c r="D582" s="55"/>
      <c r="E582" s="55"/>
      <c r="F582" s="55"/>
      <c r="G582" s="55"/>
      <c r="H582" s="57"/>
      <c r="I582" s="57"/>
      <c r="J582" s="57"/>
      <c r="K582" s="57"/>
    </row>
    <row r="583" spans="1:11" s="64" customFormat="1" ht="15.75">
      <c r="A583" s="55"/>
      <c r="B583" s="56"/>
      <c r="C583" s="55"/>
      <c r="D583" s="55"/>
      <c r="E583" s="55"/>
      <c r="F583" s="55"/>
      <c r="G583" s="55"/>
      <c r="H583" s="57"/>
      <c r="I583" s="57"/>
      <c r="J583" s="57"/>
      <c r="K583" s="57"/>
    </row>
    <row r="584" spans="1:11" s="64" customFormat="1" ht="15.75">
      <c r="A584" s="55"/>
      <c r="B584" s="56"/>
      <c r="C584" s="55"/>
      <c r="D584" s="55"/>
      <c r="E584" s="55"/>
      <c r="F584" s="55"/>
      <c r="G584" s="55"/>
      <c r="H584" s="57"/>
      <c r="I584" s="57"/>
      <c r="J584" s="57"/>
      <c r="K584" s="57"/>
    </row>
    <row r="585" spans="1:11" s="64" customFormat="1" ht="15.75">
      <c r="A585" s="55"/>
      <c r="B585" s="56"/>
      <c r="C585" s="55"/>
      <c r="D585" s="55"/>
      <c r="E585" s="55"/>
      <c r="F585" s="55"/>
      <c r="G585" s="55"/>
      <c r="H585" s="65"/>
      <c r="I585" s="65"/>
      <c r="J585" s="65"/>
      <c r="K585" s="65"/>
    </row>
    <row r="586" spans="1:11" s="64" customFormat="1" ht="15.75">
      <c r="A586" s="55"/>
      <c r="B586" s="56"/>
      <c r="C586" s="55"/>
      <c r="D586" s="55"/>
      <c r="E586" s="55"/>
      <c r="F586" s="55"/>
      <c r="G586" s="55"/>
      <c r="H586" s="65"/>
      <c r="I586" s="65"/>
      <c r="J586" s="65"/>
      <c r="K586" s="65"/>
    </row>
  </sheetData>
  <sheetProtection/>
  <autoFilter ref="A9:O577"/>
  <mergeCells count="19">
    <mergeCell ref="D580:G580"/>
    <mergeCell ref="H8:I8"/>
    <mergeCell ref="J8:K8"/>
    <mergeCell ref="I580:J580"/>
    <mergeCell ref="I581:J581"/>
    <mergeCell ref="D581:G581"/>
    <mergeCell ref="A8:A9"/>
    <mergeCell ref="B8:B9"/>
    <mergeCell ref="C8:C9"/>
    <mergeCell ref="D8:D9"/>
    <mergeCell ref="E8:F8"/>
    <mergeCell ref="G8:G9"/>
    <mergeCell ref="A4:H4"/>
    <mergeCell ref="A5:J6"/>
    <mergeCell ref="G7:H7"/>
    <mergeCell ref="I7:J7"/>
    <mergeCell ref="G1:K1"/>
    <mergeCell ref="G2:K2"/>
    <mergeCell ref="G3:K3"/>
  </mergeCells>
  <printOptions/>
  <pageMargins left="0.4330708661417323" right="0.31496062992125984" top="0.15748031496062992" bottom="0.15748031496062992" header="0.15748031496062992" footer="0.1574803149606299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2018-04-27T05:44:03Z</cp:lastPrinted>
  <dcterms:created xsi:type="dcterms:W3CDTF">2002-12-23T14:52:50Z</dcterms:created>
  <dcterms:modified xsi:type="dcterms:W3CDTF">2018-04-28T10:46:58Z</dcterms:modified>
  <cp:category/>
  <cp:version/>
  <cp:contentType/>
  <cp:contentStatus/>
</cp:coreProperties>
</file>